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300" windowWidth="24540" windowHeight="11310" tabRatio="843" firstSheet="6" activeTab="6"/>
  </bookViews>
  <sheets>
    <sheet name="Data" sheetId="4" state="hidden" r:id="rId1"/>
    <sheet name="DataTarpin" sheetId="7" state="hidden" r:id="rId2"/>
    <sheet name="Populiacija" sheetId="18" state="hidden" r:id="rId3"/>
    <sheet name="Kiti grafikai" sheetId="51" state="hidden" r:id="rId4"/>
    <sheet name="GrafikaiSergVM" sheetId="50" state="hidden" r:id="rId5"/>
    <sheet name="GrafikaiSerg" sheetId="39" state="hidden" r:id="rId6"/>
    <sheet name="Lent02vm" sheetId="19" r:id="rId7"/>
    <sheet name="Lent02v" sheetId="47" r:id="rId8"/>
    <sheet name="Lent02m" sheetId="20" r:id="rId9"/>
    <sheet name="Lent04v" sheetId="8" r:id="rId10"/>
    <sheet name="Lent04m" sheetId="23" r:id="rId11"/>
    <sheet name="Lent06v" sheetId="9" r:id="rId12"/>
    <sheet name="Lent06m" sheetId="11" r:id="rId13"/>
    <sheet name="Lent08v" sheetId="43" r:id="rId14"/>
    <sheet name="Lent08m" sheetId="44" r:id="rId15"/>
    <sheet name="GrafikaiMirtVM" sheetId="49" state="hidden" r:id="rId16"/>
    <sheet name="GrafikaiMirt" sheetId="40" state="hidden" r:id="rId17"/>
    <sheet name="Lent10vm" sheetId="48" r:id="rId18"/>
    <sheet name="Lent10v" sheetId="36" r:id="rId19"/>
    <sheet name="Lent10m" sheetId="37" r:id="rId20"/>
    <sheet name="Lent12v" sheetId="12" r:id="rId21"/>
    <sheet name="Lent12m" sheetId="14" r:id="rId22"/>
    <sheet name="Len14v" sheetId="45" r:id="rId23"/>
    <sheet name="Lent14m" sheetId="46" r:id="rId24"/>
    <sheet name="Lent16v" sheetId="34" r:id="rId25"/>
    <sheet name="Lent16m" sheetId="35" r:id="rId26"/>
    <sheet name="Lent18v" sheetId="41" r:id="rId27"/>
    <sheet name="Lent18m" sheetId="42" r:id="rId28"/>
  </sheets>
  <definedNames>
    <definedName name="_xlnm._FilterDatabase" localSheetId="0" hidden="1">Data!$A$2:$EC$51</definedName>
    <definedName name="_xlnm.Print_Area" localSheetId="22">Len14v!$B$3:$AE$47</definedName>
    <definedName name="_xlnm.Print_Area" localSheetId="8">Lent02m!$B$4:$G$51</definedName>
    <definedName name="_xlnm.Print_Area" localSheetId="7">Lent02v!$B$4:$G$47</definedName>
    <definedName name="_xlnm.Print_Area" localSheetId="6">Lent02vm!$B$6:$G$55</definedName>
    <definedName name="_xlnm.Print_Area" localSheetId="10">Lent04m!$B$2:$Z$43</definedName>
    <definedName name="_xlnm.Print_Area" localSheetId="9">Lent04v!$B$2:$Q$45</definedName>
    <definedName name="_xlnm.Print_Area" localSheetId="12">Lent06m!$B$2:$AG$54</definedName>
    <definedName name="_xlnm.Print_Area" localSheetId="11">Lent06v!$B$2:$AE$50</definedName>
    <definedName name="_xlnm.Print_Area" localSheetId="14">Lent08m!$B$3:$AB$55</definedName>
    <definedName name="_xlnm.Print_Area" localSheetId="13">Lent08v!$B$3:$AF$52</definedName>
    <definedName name="_xlnm.Print_Area" localSheetId="19">Lent10m!$B$4:$G$51</definedName>
    <definedName name="_xlnm.Print_Area" localSheetId="18">Lent10v!$B$4:$G$47</definedName>
    <definedName name="_xlnm.Print_Area" localSheetId="17">Lent10vm!$B$6:$G$55</definedName>
    <definedName name="_xlnm.Print_Area" localSheetId="21">Lent12m!$B$2:$Z$54</definedName>
    <definedName name="_xlnm.Print_Area" localSheetId="20">Lent12v!$B$2:$AI$48</definedName>
    <definedName name="_xlnm.Print_Area" localSheetId="23">Lent14m!$B$3:$AD$57</definedName>
    <definedName name="_xlnm.Print_Area" localSheetId="25">Lent16m!$B$2:$L$51</definedName>
    <definedName name="_xlnm.Print_Area" localSheetId="24">Lent16v!$B$2:$L$51</definedName>
    <definedName name="_xlnm.Print_Area" localSheetId="27">Lent18m!$B$2:$K$41</definedName>
    <definedName name="_xlnm.Print_Area" localSheetId="26">Lent18v!$B$2:$K$40</definedName>
    <definedName name="v_F90">Data!$D$2</definedName>
    <definedName name="zzz" localSheetId="16">#REF!</definedName>
    <definedName name="zzz" localSheetId="15">#REF!</definedName>
    <definedName name="zzz" localSheetId="5">#REF!</definedName>
    <definedName name="zzz" localSheetId="4">#REF!</definedName>
    <definedName name="zzz" localSheetId="3">#REF!</definedName>
    <definedName name="zzz" localSheetId="22">#REF!</definedName>
    <definedName name="zzz" localSheetId="8">#REF!</definedName>
    <definedName name="zzz" localSheetId="7">#REF!</definedName>
    <definedName name="zzz" localSheetId="6">#REF!</definedName>
    <definedName name="zzz" localSheetId="10">#REF!</definedName>
    <definedName name="zzz" localSheetId="14">#REF!</definedName>
    <definedName name="zzz" localSheetId="13">#REF!</definedName>
    <definedName name="zzz" localSheetId="19">#REF!</definedName>
    <definedName name="zzz" localSheetId="18">#REF!</definedName>
    <definedName name="zzz" localSheetId="17">#REF!</definedName>
    <definedName name="zzz" localSheetId="23">#REF!</definedName>
    <definedName name="zzz" localSheetId="25">#REF!</definedName>
    <definedName name="zzz" localSheetId="24">#REF!</definedName>
    <definedName name="zzz" localSheetId="27">#REF!</definedName>
    <definedName name="zzz" localSheetId="26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B2" i="9" l="1"/>
  <c r="B2" i="23"/>
  <c r="B2" i="8"/>
  <c r="B2" i="19"/>
  <c r="B2" i="47"/>
  <c r="B2" i="20"/>
  <c r="AE23" i="51" l="1"/>
  <c r="AD23" i="51"/>
  <c r="AB3" i="51"/>
  <c r="F32" i="51"/>
  <c r="F33" i="51"/>
  <c r="F34" i="51"/>
  <c r="F35" i="51"/>
  <c r="F36" i="51"/>
  <c r="F37" i="51"/>
  <c r="F38" i="51"/>
  <c r="F39" i="51"/>
  <c r="F40" i="51"/>
  <c r="F41" i="51"/>
  <c r="F42" i="51"/>
  <c r="F43" i="51"/>
  <c r="F44" i="51"/>
  <c r="F45" i="51"/>
  <c r="F46" i="51"/>
  <c r="F47" i="51"/>
  <c r="F48" i="51"/>
  <c r="F31" i="51"/>
  <c r="F30" i="51"/>
  <c r="E30" i="51"/>
  <c r="E32" i="51"/>
  <c r="E33" i="51"/>
  <c r="E34" i="51"/>
  <c r="E35" i="51"/>
  <c r="E36" i="51"/>
  <c r="E37" i="51"/>
  <c r="E38" i="51"/>
  <c r="E39" i="51"/>
  <c r="E40" i="51"/>
  <c r="E41" i="51"/>
  <c r="E42" i="51"/>
  <c r="E43" i="51"/>
  <c r="E44" i="51"/>
  <c r="E45" i="51"/>
  <c r="E46" i="51"/>
  <c r="E47" i="51"/>
  <c r="E48" i="51"/>
  <c r="E31" i="51"/>
  <c r="B2" i="41" l="1"/>
  <c r="B2" i="42"/>
  <c r="Y21" i="49" l="1"/>
  <c r="F36" i="7"/>
  <c r="F35" i="7"/>
  <c r="F34" i="7"/>
  <c r="F32" i="7"/>
  <c r="F38" i="7"/>
  <c r="F33" i="7"/>
  <c r="F37" i="7"/>
  <c r="F29" i="7"/>
  <c r="F39" i="7" s="1"/>
  <c r="G32" i="7" s="1"/>
  <c r="F30" i="7"/>
  <c r="F31" i="7"/>
  <c r="F17" i="7"/>
  <c r="F24" i="7"/>
  <c r="F21" i="7"/>
  <c r="F19" i="7"/>
  <c r="F22" i="7"/>
  <c r="F25" i="7"/>
  <c r="F23" i="7"/>
  <c r="F20" i="7"/>
  <c r="F16" i="7"/>
  <c r="F26" i="7" s="1"/>
  <c r="G19" i="7" s="1"/>
  <c r="F18" i="7"/>
  <c r="F9" i="7"/>
  <c r="F3" i="7"/>
  <c r="F13" i="7" s="1"/>
  <c r="G6" i="7" s="1"/>
  <c r="F10" i="7"/>
  <c r="F4" i="7"/>
  <c r="F5" i="7"/>
  <c r="F12" i="7"/>
  <c r="F11" i="7"/>
  <c r="F8" i="7"/>
  <c r="F7" i="7"/>
  <c r="F6" i="7"/>
  <c r="B29" i="7"/>
  <c r="B39" i="7" s="1"/>
  <c r="C32" i="7" s="1"/>
  <c r="B30" i="7"/>
  <c r="B37" i="7"/>
  <c r="B31" i="7"/>
  <c r="B32" i="7"/>
  <c r="B33" i="7"/>
  <c r="C33" i="7" s="1"/>
  <c r="B34" i="7"/>
  <c r="B36" i="7"/>
  <c r="B35" i="7"/>
  <c r="B38" i="7"/>
  <c r="C38" i="7" s="1"/>
  <c r="B23" i="7"/>
  <c r="B25" i="7"/>
  <c r="B22" i="7"/>
  <c r="B24" i="7"/>
  <c r="B26" i="7"/>
  <c r="B3" i="7"/>
  <c r="B11" i="7"/>
  <c r="B8" i="7"/>
  <c r="B6" i="7"/>
  <c r="B7" i="7"/>
  <c r="B12" i="7"/>
  <c r="B10" i="7"/>
  <c r="B9" i="7"/>
  <c r="B4" i="7"/>
  <c r="B13" i="7" s="1"/>
  <c r="C6" i="7" s="1"/>
  <c r="B5" i="7"/>
  <c r="AC23" i="40"/>
  <c r="Y21" i="40"/>
  <c r="AC18" i="39"/>
  <c r="G33" i="7" l="1"/>
  <c r="G38" i="7"/>
  <c r="G37" i="7"/>
  <c r="G31" i="7"/>
  <c r="G35" i="7"/>
  <c r="G30" i="7"/>
  <c r="G28" i="7"/>
  <c r="G34" i="7"/>
  <c r="G29" i="7"/>
  <c r="G36" i="7"/>
  <c r="G15" i="7"/>
  <c r="G22" i="7"/>
  <c r="G18" i="7"/>
  <c r="G25" i="7"/>
  <c r="G21" i="7"/>
  <c r="G17" i="7"/>
  <c r="G24" i="7"/>
  <c r="G20" i="7"/>
  <c r="G16" i="7"/>
  <c r="G23" i="7"/>
  <c r="G2" i="7"/>
  <c r="G9" i="7"/>
  <c r="G5" i="7"/>
  <c r="G12" i="7"/>
  <c r="G8" i="7"/>
  <c r="G4" i="7"/>
  <c r="G11" i="7"/>
  <c r="G7" i="7"/>
  <c r="G3" i="7"/>
  <c r="G10" i="7"/>
  <c r="C37" i="7"/>
  <c r="C31" i="7"/>
  <c r="C35" i="7"/>
  <c r="C30" i="7"/>
  <c r="C28" i="7"/>
  <c r="C34" i="7"/>
  <c r="C29" i="7"/>
  <c r="C36" i="7"/>
  <c r="C21" i="7"/>
  <c r="C22" i="7"/>
  <c r="C25" i="7"/>
  <c r="C24" i="7"/>
  <c r="C23" i="7"/>
  <c r="C8" i="7"/>
  <c r="C12" i="7"/>
  <c r="C9" i="7"/>
  <c r="C2" i="7"/>
  <c r="C5" i="7"/>
  <c r="C4" i="7"/>
  <c r="C11" i="7"/>
  <c r="C7" i="7"/>
  <c r="C3" i="7"/>
  <c r="C10" i="7"/>
  <c r="B2" i="48"/>
  <c r="I54" i="39"/>
  <c r="I53" i="39"/>
  <c r="I52" i="39"/>
  <c r="I51" i="39"/>
  <c r="I50" i="39"/>
  <c r="I49" i="39"/>
  <c r="I48" i="39"/>
  <c r="I47" i="39"/>
  <c r="I46" i="39"/>
  <c r="I45" i="39"/>
  <c r="I44" i="39"/>
  <c r="S54" i="39"/>
  <c r="S53" i="39"/>
  <c r="S52" i="39"/>
  <c r="S51" i="39"/>
  <c r="S50" i="39"/>
  <c r="S49" i="39"/>
  <c r="S48" i="39"/>
  <c r="S47" i="39"/>
  <c r="S45" i="39"/>
  <c r="S46" i="39"/>
  <c r="S44" i="39"/>
  <c r="I80" i="39"/>
  <c r="I79" i="39"/>
  <c r="I78" i="39"/>
  <c r="I77" i="39"/>
  <c r="I76" i="39"/>
  <c r="I75" i="39"/>
  <c r="I74" i="39"/>
  <c r="I73" i="39"/>
  <c r="I72" i="39"/>
  <c r="I71" i="39"/>
  <c r="I70" i="39"/>
  <c r="I67" i="39"/>
  <c r="I66" i="39"/>
  <c r="I65" i="39"/>
  <c r="I64" i="39"/>
  <c r="I63" i="39"/>
  <c r="I62" i="39"/>
  <c r="I61" i="39"/>
  <c r="I60" i="39"/>
  <c r="I59" i="39"/>
  <c r="I58" i="39"/>
  <c r="I57" i="39"/>
  <c r="S67" i="39"/>
  <c r="S66" i="39"/>
  <c r="S65" i="39"/>
  <c r="S64" i="39"/>
  <c r="S63" i="39"/>
  <c r="S62" i="39"/>
  <c r="S61" i="39"/>
  <c r="S60" i="39"/>
  <c r="S59" i="39"/>
  <c r="S58" i="39"/>
  <c r="S57" i="39"/>
  <c r="S80" i="39"/>
  <c r="S79" i="39"/>
  <c r="S78" i="39"/>
  <c r="S77" i="39"/>
  <c r="S76" i="39"/>
  <c r="S75" i="39"/>
  <c r="S74" i="39"/>
  <c r="S73" i="39"/>
  <c r="S72" i="39"/>
  <c r="S71" i="39"/>
  <c r="S70" i="39"/>
  <c r="M69" i="39"/>
  <c r="C69" i="39"/>
  <c r="M56" i="39"/>
  <c r="C56" i="39"/>
  <c r="M43" i="39"/>
  <c r="C43" i="39"/>
  <c r="I26" i="50"/>
  <c r="C39" i="7" l="1"/>
  <c r="G39" i="7"/>
  <c r="G26" i="7"/>
  <c r="G13" i="7"/>
  <c r="C26" i="7"/>
  <c r="C13" i="7"/>
  <c r="F6" i="23" l="1"/>
  <c r="F7" i="23"/>
  <c r="F8" i="23"/>
  <c r="F9" i="23"/>
  <c r="F10" i="23"/>
  <c r="F11" i="23"/>
  <c r="F12" i="23"/>
  <c r="F13" i="23"/>
  <c r="F14" i="23"/>
  <c r="L25" i="8"/>
  <c r="L26" i="8"/>
  <c r="L27" i="8"/>
  <c r="L28" i="8"/>
  <c r="L29" i="8"/>
  <c r="L30" i="8"/>
  <c r="L31" i="8"/>
  <c r="L32" i="8"/>
  <c r="L33" i="8"/>
  <c r="L34" i="8"/>
  <c r="L35" i="8"/>
  <c r="L6" i="8"/>
  <c r="L7" i="8"/>
  <c r="L8" i="8"/>
  <c r="L9" i="8"/>
  <c r="L10" i="8"/>
  <c r="L11" i="8"/>
  <c r="L12" i="8"/>
  <c r="L13" i="8"/>
  <c r="L14" i="8"/>
  <c r="L15" i="8"/>
  <c r="L16" i="8"/>
  <c r="H25" i="8"/>
  <c r="H26" i="8"/>
  <c r="H27" i="8"/>
  <c r="H28" i="8"/>
  <c r="H29" i="8"/>
  <c r="H30" i="8"/>
  <c r="H31" i="8"/>
  <c r="H32" i="8"/>
  <c r="H33" i="8"/>
  <c r="H34" i="8"/>
  <c r="H35" i="8"/>
  <c r="H6" i="8"/>
  <c r="H7" i="8"/>
  <c r="H8" i="8"/>
  <c r="H9" i="8"/>
  <c r="H10" i="8"/>
  <c r="H11" i="8"/>
  <c r="H12" i="8"/>
  <c r="H13" i="8"/>
  <c r="H14" i="8"/>
  <c r="H15" i="8"/>
  <c r="H16" i="8"/>
  <c r="F25" i="8"/>
  <c r="F26" i="8"/>
  <c r="F27" i="8"/>
  <c r="F28" i="8"/>
  <c r="F29" i="8"/>
  <c r="F30" i="8"/>
  <c r="F31" i="8"/>
  <c r="F32" i="8"/>
  <c r="F33" i="8"/>
  <c r="F34" i="8"/>
  <c r="F35" i="8"/>
  <c r="F6" i="8"/>
  <c r="F7" i="8"/>
  <c r="F8" i="8"/>
  <c r="F9" i="8"/>
  <c r="F10" i="8"/>
  <c r="F11" i="8"/>
  <c r="F12" i="8"/>
  <c r="F13" i="8"/>
  <c r="F14" i="8"/>
  <c r="F15" i="8"/>
  <c r="F16" i="8"/>
  <c r="D25" i="8"/>
  <c r="D26" i="8"/>
  <c r="D27" i="8"/>
  <c r="D28" i="8"/>
  <c r="D29" i="8"/>
  <c r="D30" i="8"/>
  <c r="D31" i="8"/>
  <c r="D32" i="8"/>
  <c r="D33" i="8"/>
  <c r="D34" i="8"/>
  <c r="D35" i="8"/>
  <c r="Y22" i="51" l="1"/>
  <c r="X22" i="51"/>
  <c r="Y21" i="51"/>
  <c r="X21" i="51"/>
  <c r="Y20" i="51"/>
  <c r="X20" i="51"/>
  <c r="Y19" i="51"/>
  <c r="X19" i="51"/>
  <c r="Y18" i="51"/>
  <c r="X18" i="51"/>
  <c r="Y17" i="51"/>
  <c r="X17" i="51"/>
  <c r="Y16" i="51"/>
  <c r="X16" i="51"/>
  <c r="Y15" i="51"/>
  <c r="X15" i="51"/>
  <c r="Y14" i="51"/>
  <c r="X14" i="51"/>
  <c r="Y13" i="51"/>
  <c r="X13" i="51"/>
  <c r="Y12" i="51"/>
  <c r="X12" i="51"/>
  <c r="Y11" i="51"/>
  <c r="X11" i="51"/>
  <c r="Y10" i="51"/>
  <c r="X10" i="51"/>
  <c r="Y9" i="51"/>
  <c r="X9" i="51"/>
  <c r="Y8" i="51"/>
  <c r="X8" i="51"/>
  <c r="Y7" i="51"/>
  <c r="X7" i="51"/>
  <c r="Y6" i="51"/>
  <c r="X6" i="51"/>
  <c r="Y5" i="51"/>
  <c r="X5" i="51"/>
  <c r="T3" i="51"/>
  <c r="S40" i="50" l="1"/>
  <c r="I40" i="50"/>
  <c r="S39" i="50"/>
  <c r="I39" i="50"/>
  <c r="S38" i="50"/>
  <c r="I38" i="50"/>
  <c r="S37" i="50"/>
  <c r="I37" i="50"/>
  <c r="S36" i="50"/>
  <c r="I36" i="50"/>
  <c r="S35" i="50"/>
  <c r="I35" i="50"/>
  <c r="S34" i="50"/>
  <c r="I34" i="50"/>
  <c r="S33" i="50"/>
  <c r="I33" i="50"/>
  <c r="S32" i="50"/>
  <c r="I32" i="50"/>
  <c r="S31" i="50"/>
  <c r="I31" i="50"/>
  <c r="S30" i="50"/>
  <c r="I30" i="50"/>
  <c r="M29" i="50"/>
  <c r="C29" i="50"/>
  <c r="S27" i="50"/>
  <c r="I27" i="50"/>
  <c r="S26" i="50"/>
  <c r="S25" i="50"/>
  <c r="I25" i="50"/>
  <c r="S24" i="50"/>
  <c r="I24" i="50"/>
  <c r="S23" i="50"/>
  <c r="I23" i="50"/>
  <c r="S22" i="50"/>
  <c r="I22" i="50"/>
  <c r="S21" i="50"/>
  <c r="I21" i="50"/>
  <c r="S20" i="50"/>
  <c r="I20" i="50"/>
  <c r="S19" i="50"/>
  <c r="I19" i="50"/>
  <c r="S18" i="50"/>
  <c r="I18" i="50"/>
  <c r="S17" i="50"/>
  <c r="I17" i="50"/>
  <c r="M16" i="50"/>
  <c r="C16" i="50"/>
  <c r="S14" i="50"/>
  <c r="I14" i="50"/>
  <c r="S13" i="50"/>
  <c r="I13" i="50"/>
  <c r="S12" i="50"/>
  <c r="I12" i="50"/>
  <c r="S11" i="50"/>
  <c r="I11" i="50"/>
  <c r="S10" i="50"/>
  <c r="I10" i="50"/>
  <c r="S9" i="50"/>
  <c r="I9" i="50"/>
  <c r="S8" i="50"/>
  <c r="I8" i="50"/>
  <c r="S7" i="50"/>
  <c r="I7" i="50"/>
  <c r="S6" i="50"/>
  <c r="I6" i="50"/>
  <c r="S5" i="50"/>
  <c r="I5" i="50"/>
  <c r="S4" i="50"/>
  <c r="I4" i="50"/>
  <c r="M3" i="50"/>
  <c r="C3" i="50"/>
  <c r="S79" i="49"/>
  <c r="I79" i="49"/>
  <c r="S78" i="49"/>
  <c r="I78" i="49"/>
  <c r="S77" i="49"/>
  <c r="I77" i="49"/>
  <c r="S76" i="49"/>
  <c r="I76" i="49"/>
  <c r="S75" i="49"/>
  <c r="I75" i="49"/>
  <c r="S74" i="49"/>
  <c r="I74" i="49"/>
  <c r="S73" i="49"/>
  <c r="I73" i="49"/>
  <c r="S72" i="49"/>
  <c r="I72" i="49"/>
  <c r="S71" i="49"/>
  <c r="I71" i="49"/>
  <c r="S70" i="49"/>
  <c r="I70" i="49"/>
  <c r="S69" i="49"/>
  <c r="I69" i="49"/>
  <c r="M68" i="49"/>
  <c r="C68" i="49"/>
  <c r="S66" i="49"/>
  <c r="I66" i="49"/>
  <c r="S65" i="49"/>
  <c r="I65" i="49"/>
  <c r="S64" i="49"/>
  <c r="I64" i="49"/>
  <c r="S63" i="49"/>
  <c r="I63" i="49"/>
  <c r="S62" i="49"/>
  <c r="I62" i="49"/>
  <c r="S61" i="49"/>
  <c r="I61" i="49"/>
  <c r="S60" i="49"/>
  <c r="I60" i="49"/>
  <c r="S59" i="49"/>
  <c r="I59" i="49"/>
  <c r="S58" i="49"/>
  <c r="I58" i="49"/>
  <c r="S57" i="49"/>
  <c r="I57" i="49"/>
  <c r="S56" i="49"/>
  <c r="I56" i="49"/>
  <c r="M55" i="49"/>
  <c r="C55" i="49"/>
  <c r="S53" i="49"/>
  <c r="I53" i="49"/>
  <c r="S52" i="49"/>
  <c r="I52" i="49"/>
  <c r="S51" i="49"/>
  <c r="I51" i="49"/>
  <c r="S50" i="49"/>
  <c r="I50" i="49"/>
  <c r="S49" i="49"/>
  <c r="I49" i="49"/>
  <c r="S48" i="49"/>
  <c r="I48" i="49"/>
  <c r="S47" i="49"/>
  <c r="I47" i="49"/>
  <c r="S46" i="49"/>
  <c r="I46" i="49"/>
  <c r="S45" i="49"/>
  <c r="I45" i="49"/>
  <c r="S44" i="49"/>
  <c r="I44" i="49"/>
  <c r="S43" i="49"/>
  <c r="I43" i="49"/>
  <c r="M42" i="49"/>
  <c r="C42" i="49"/>
  <c r="S40" i="49"/>
  <c r="I40" i="49"/>
  <c r="S39" i="49"/>
  <c r="I39" i="49"/>
  <c r="S38" i="49"/>
  <c r="I38" i="49"/>
  <c r="S37" i="49"/>
  <c r="I37" i="49"/>
  <c r="S36" i="49"/>
  <c r="I36" i="49"/>
  <c r="S35" i="49"/>
  <c r="I35" i="49"/>
  <c r="S34" i="49"/>
  <c r="I34" i="49"/>
  <c r="S33" i="49"/>
  <c r="I33" i="49"/>
  <c r="S32" i="49"/>
  <c r="I32" i="49"/>
  <c r="S31" i="49"/>
  <c r="I31" i="49"/>
  <c r="S30" i="49"/>
  <c r="I30" i="49"/>
  <c r="M29" i="49"/>
  <c r="C29" i="49"/>
  <c r="S27" i="49"/>
  <c r="I27" i="49"/>
  <c r="S26" i="49"/>
  <c r="I26" i="49"/>
  <c r="S25" i="49"/>
  <c r="I25" i="49"/>
  <c r="S24" i="49"/>
  <c r="I24" i="49"/>
  <c r="S23" i="49"/>
  <c r="I23" i="49"/>
  <c r="S22" i="49"/>
  <c r="I22" i="49"/>
  <c r="S21" i="49"/>
  <c r="I21" i="49"/>
  <c r="S20" i="49"/>
  <c r="I20" i="49"/>
  <c r="S19" i="49"/>
  <c r="I19" i="49"/>
  <c r="S18" i="49"/>
  <c r="I18" i="49"/>
  <c r="S17" i="49"/>
  <c r="I17" i="49"/>
  <c r="M16" i="49"/>
  <c r="C16" i="49"/>
  <c r="S14" i="49"/>
  <c r="I14" i="49"/>
  <c r="S13" i="49"/>
  <c r="I13" i="49"/>
  <c r="S12" i="49"/>
  <c r="I12" i="49"/>
  <c r="S11" i="49"/>
  <c r="I11" i="49"/>
  <c r="S10" i="49"/>
  <c r="I10" i="49"/>
  <c r="S9" i="49"/>
  <c r="I9" i="49"/>
  <c r="S8" i="49"/>
  <c r="I8" i="49"/>
  <c r="S7" i="49"/>
  <c r="I7" i="49"/>
  <c r="S6" i="49"/>
  <c r="I6" i="49"/>
  <c r="S5" i="49"/>
  <c r="I5" i="49"/>
  <c r="S4" i="49"/>
  <c r="I4" i="49"/>
  <c r="M3" i="49"/>
  <c r="C3" i="49"/>
  <c r="C49" i="48"/>
  <c r="C50" i="48"/>
  <c r="C51" i="48"/>
  <c r="C52" i="48"/>
  <c r="C53" i="48"/>
  <c r="C54" i="48"/>
  <c r="C55" i="48"/>
  <c r="B49" i="48"/>
  <c r="B50" i="48"/>
  <c r="B51" i="48"/>
  <c r="B52" i="48"/>
  <c r="B53" i="48"/>
  <c r="B54" i="48"/>
  <c r="B55" i="48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8" i="19"/>
  <c r="C9" i="48"/>
  <c r="C10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S58" i="48"/>
  <c r="C48" i="48"/>
  <c r="B48" i="48"/>
  <c r="C8" i="48"/>
  <c r="B8" i="48"/>
  <c r="AM3" i="48"/>
  <c r="S3" i="48"/>
  <c r="W2" i="48"/>
  <c r="C49" i="19"/>
  <c r="C50" i="19"/>
  <c r="C51" i="19"/>
  <c r="C52" i="19"/>
  <c r="C53" i="19"/>
  <c r="C54" i="19"/>
  <c r="C55" i="19"/>
  <c r="B49" i="19"/>
  <c r="B50" i="19"/>
  <c r="B51" i="19"/>
  <c r="B52" i="19"/>
  <c r="B53" i="19"/>
  <c r="B54" i="19"/>
  <c r="B55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R50" i="47"/>
  <c r="C47" i="47"/>
  <c r="B47" i="47"/>
  <c r="C46" i="47"/>
  <c r="B46" i="47"/>
  <c r="C45" i="47"/>
  <c r="B45" i="47"/>
  <c r="C44" i="47"/>
  <c r="B44" i="47"/>
  <c r="C43" i="47"/>
  <c r="B43" i="47"/>
  <c r="C42" i="47"/>
  <c r="B42" i="47"/>
  <c r="C40" i="47"/>
  <c r="B40" i="47"/>
  <c r="C39" i="47"/>
  <c r="B39" i="47"/>
  <c r="C38" i="47"/>
  <c r="B38" i="47"/>
  <c r="C37" i="47"/>
  <c r="B37" i="47"/>
  <c r="C36" i="47"/>
  <c r="B36" i="47"/>
  <c r="C35" i="47"/>
  <c r="B35" i="47"/>
  <c r="C34" i="47"/>
  <c r="B34" i="47"/>
  <c r="C33" i="47"/>
  <c r="B33" i="47"/>
  <c r="C32" i="47"/>
  <c r="B32" i="47"/>
  <c r="C31" i="47"/>
  <c r="B31" i="47"/>
  <c r="C30" i="47"/>
  <c r="B30" i="47"/>
  <c r="C29" i="47"/>
  <c r="B29" i="47"/>
  <c r="C28" i="47"/>
  <c r="B28" i="47"/>
  <c r="B27" i="47"/>
  <c r="C26" i="47"/>
  <c r="B26" i="47"/>
  <c r="C25" i="47"/>
  <c r="B25" i="47"/>
  <c r="C24" i="47"/>
  <c r="B24" i="47"/>
  <c r="C23" i="47"/>
  <c r="B23" i="47"/>
  <c r="C22" i="47"/>
  <c r="B22" i="47"/>
  <c r="C21" i="47"/>
  <c r="B21" i="47"/>
  <c r="C20" i="47"/>
  <c r="B20" i="47"/>
  <c r="C19" i="47"/>
  <c r="B19" i="47"/>
  <c r="C18" i="47"/>
  <c r="B18" i="47"/>
  <c r="C17" i="47"/>
  <c r="B17" i="47"/>
  <c r="C16" i="47"/>
  <c r="B16" i="47"/>
  <c r="C15" i="47"/>
  <c r="B15" i="47"/>
  <c r="C14" i="47"/>
  <c r="B14" i="47"/>
  <c r="C13" i="47"/>
  <c r="B13" i="47"/>
  <c r="C12" i="47"/>
  <c r="B12" i="47"/>
  <c r="C11" i="47"/>
  <c r="B11" i="47"/>
  <c r="C10" i="47"/>
  <c r="B10" i="47"/>
  <c r="C9" i="47"/>
  <c r="B9" i="47"/>
  <c r="C8" i="47"/>
  <c r="B8" i="47"/>
  <c r="C7" i="47"/>
  <c r="B7" i="47"/>
  <c r="C6" i="47"/>
  <c r="B6" i="47"/>
  <c r="AL3" i="47"/>
  <c r="R3" i="47"/>
  <c r="V2" i="47"/>
  <c r="X2" i="47" s="1"/>
  <c r="AD7" i="51" l="1"/>
  <c r="AB7" i="51" s="1"/>
  <c r="AD11" i="51"/>
  <c r="AD15" i="51"/>
  <c r="AB15" i="51" s="1"/>
  <c r="AD19" i="51"/>
  <c r="AB19" i="51" s="1"/>
  <c r="AD8" i="51"/>
  <c r="AD12" i="51"/>
  <c r="AD16" i="51"/>
  <c r="AD20" i="51"/>
  <c r="AB20" i="51" s="1"/>
  <c r="AD5" i="51"/>
  <c r="AB5" i="51" s="1"/>
  <c r="AD9" i="51"/>
  <c r="AD13" i="51"/>
  <c r="AB13" i="51" s="1"/>
  <c r="AD17" i="51"/>
  <c r="AB17" i="51" s="1"/>
  <c r="AD21" i="51"/>
  <c r="AB21" i="51" s="1"/>
  <c r="AD6" i="51"/>
  <c r="AB6" i="51" s="1"/>
  <c r="AD10" i="51"/>
  <c r="AB10" i="51" s="1"/>
  <c r="AD14" i="51"/>
  <c r="AB14" i="51" s="1"/>
  <c r="AD18" i="51"/>
  <c r="AB18" i="51" s="1"/>
  <c r="AD22" i="51"/>
  <c r="AB22" i="51" s="1"/>
  <c r="AB16" i="51"/>
  <c r="AB12" i="51"/>
  <c r="AB11" i="51"/>
  <c r="AB9" i="51"/>
  <c r="AB8" i="51"/>
  <c r="AP2" i="47"/>
  <c r="AR2" i="47" s="1"/>
  <c r="Y2" i="48"/>
  <c r="AQ2" i="48"/>
  <c r="AS2" i="48" s="1"/>
  <c r="BD4" i="47"/>
  <c r="BB4" i="47"/>
  <c r="AZ4" i="47"/>
  <c r="AX4" i="47"/>
  <c r="AV4" i="47"/>
  <c r="AT4" i="47"/>
  <c r="AR4" i="47"/>
  <c r="AP4" i="47"/>
  <c r="AN4" i="47"/>
  <c r="AI4" i="47"/>
  <c r="AG4" i="47"/>
  <c r="AE4" i="47"/>
  <c r="AC4" i="47"/>
  <c r="AA4" i="47"/>
  <c r="Y4" i="47"/>
  <c r="W4" i="47"/>
  <c r="U4" i="47"/>
  <c r="S4" i="47"/>
  <c r="BC4" i="47"/>
  <c r="BA4" i="47"/>
  <c r="AY4" i="47"/>
  <c r="AW4" i="47"/>
  <c r="AU4" i="47"/>
  <c r="AS4" i="47"/>
  <c r="AQ4" i="47"/>
  <c r="AO4" i="47"/>
  <c r="AM4" i="47"/>
  <c r="AJ4" i="47"/>
  <c r="U2" i="45" s="1"/>
  <c r="AH4" i="47"/>
  <c r="AF4" i="47"/>
  <c r="AD4" i="47"/>
  <c r="AB4" i="47"/>
  <c r="Z4" i="47"/>
  <c r="X4" i="47"/>
  <c r="V4" i="47"/>
  <c r="T4" i="47"/>
  <c r="S40" i="40"/>
  <c r="S25" i="39"/>
  <c r="E2" i="45" l="1"/>
  <c r="E2" i="43"/>
  <c r="I2" i="45"/>
  <c r="I2" i="43"/>
  <c r="M2" i="45"/>
  <c r="M2" i="43"/>
  <c r="Q2" i="45"/>
  <c r="Q2" i="43"/>
  <c r="D2" i="45"/>
  <c r="D2" i="43"/>
  <c r="H2" i="45"/>
  <c r="H2" i="43"/>
  <c r="L2" i="45"/>
  <c r="L2" i="43"/>
  <c r="P2" i="45"/>
  <c r="P2" i="43"/>
  <c r="T2" i="45"/>
  <c r="T2" i="43"/>
  <c r="G2" i="45"/>
  <c r="G2" i="43"/>
  <c r="K2" i="45"/>
  <c r="K2" i="43"/>
  <c r="O2" i="45"/>
  <c r="O2" i="43"/>
  <c r="S2" i="45"/>
  <c r="S2" i="43"/>
  <c r="F2" i="45"/>
  <c r="F2" i="43"/>
  <c r="J2" i="45"/>
  <c r="J2" i="43"/>
  <c r="N2" i="45"/>
  <c r="N2" i="43"/>
  <c r="R2" i="45"/>
  <c r="R2" i="43"/>
  <c r="BE4" i="48"/>
  <c r="BC4" i="48"/>
  <c r="BA4" i="48"/>
  <c r="AY4" i="48"/>
  <c r="AW4" i="48"/>
  <c r="AU4" i="48"/>
  <c r="AS4" i="48"/>
  <c r="AQ4" i="48"/>
  <c r="AO4" i="48"/>
  <c r="AK4" i="48"/>
  <c r="AI4" i="48"/>
  <c r="AG4" i="48"/>
  <c r="AE4" i="48"/>
  <c r="AC4" i="48"/>
  <c r="AA4" i="48"/>
  <c r="Y4" i="48"/>
  <c r="W4" i="48"/>
  <c r="U4" i="48"/>
  <c r="BE5" i="48"/>
  <c r="BC5" i="48"/>
  <c r="BA5" i="48"/>
  <c r="AY5" i="48"/>
  <c r="AW5" i="48"/>
  <c r="AU5" i="48"/>
  <c r="AS5" i="48"/>
  <c r="AQ5" i="48"/>
  <c r="AO5" i="48"/>
  <c r="AJ5" i="48"/>
  <c r="AH5" i="48"/>
  <c r="AF5" i="48"/>
  <c r="AD5" i="48"/>
  <c r="AB5" i="48"/>
  <c r="Z5" i="48"/>
  <c r="X5" i="48"/>
  <c r="V5" i="48"/>
  <c r="T5" i="48"/>
  <c r="BD4" i="48"/>
  <c r="BB4" i="48"/>
  <c r="AZ4" i="48"/>
  <c r="AX4" i="48"/>
  <c r="AV4" i="48"/>
  <c r="AT4" i="48"/>
  <c r="AR4" i="48"/>
  <c r="AP4" i="48"/>
  <c r="AN4" i="48"/>
  <c r="AJ4" i="48"/>
  <c r="AH4" i="48"/>
  <c r="AF4" i="48"/>
  <c r="AD4" i="48"/>
  <c r="AB4" i="48"/>
  <c r="Z4" i="48"/>
  <c r="X4" i="48"/>
  <c r="V4" i="48"/>
  <c r="T4" i="48"/>
  <c r="BD5" i="48"/>
  <c r="BB5" i="48"/>
  <c r="AZ5" i="48"/>
  <c r="AX5" i="48"/>
  <c r="AV5" i="48"/>
  <c r="AT5" i="48"/>
  <c r="AR5" i="48"/>
  <c r="AP5" i="48"/>
  <c r="AN5" i="48"/>
  <c r="AK5" i="48"/>
  <c r="AI5" i="48"/>
  <c r="AG5" i="48"/>
  <c r="AE5" i="48"/>
  <c r="AC5" i="48"/>
  <c r="AA5" i="48"/>
  <c r="Y5" i="48"/>
  <c r="W5" i="48"/>
  <c r="U5" i="48"/>
  <c r="T47" i="47"/>
  <c r="T46" i="47"/>
  <c r="T45" i="47"/>
  <c r="T44" i="47"/>
  <c r="T43" i="47"/>
  <c r="T42" i="47"/>
  <c r="T40" i="47"/>
  <c r="T39" i="47"/>
  <c r="T38" i="47"/>
  <c r="T37" i="47"/>
  <c r="T36" i="47"/>
  <c r="T35" i="47"/>
  <c r="T34" i="47"/>
  <c r="T33" i="47"/>
  <c r="T32" i="47"/>
  <c r="T31" i="47"/>
  <c r="T26" i="47"/>
  <c r="T25" i="47"/>
  <c r="T24" i="47"/>
  <c r="T23" i="47"/>
  <c r="T30" i="47"/>
  <c r="T29" i="47"/>
  <c r="T28" i="47"/>
  <c r="T27" i="47"/>
  <c r="T22" i="47"/>
  <c r="T21" i="47"/>
  <c r="T20" i="47"/>
  <c r="T19" i="47"/>
  <c r="T18" i="47"/>
  <c r="T17" i="47"/>
  <c r="T16" i="47"/>
  <c r="T15" i="47"/>
  <c r="T14" i="47"/>
  <c r="T13" i="47"/>
  <c r="T12" i="47"/>
  <c r="T11" i="47"/>
  <c r="T10" i="47"/>
  <c r="T9" i="47"/>
  <c r="T8" i="47"/>
  <c r="T7" i="47"/>
  <c r="T6" i="47"/>
  <c r="X47" i="47"/>
  <c r="X46" i="47"/>
  <c r="X45" i="47"/>
  <c r="X44" i="47"/>
  <c r="X43" i="47"/>
  <c r="X42" i="47"/>
  <c r="X40" i="47"/>
  <c r="X39" i="47"/>
  <c r="X38" i="47"/>
  <c r="X37" i="47"/>
  <c r="X36" i="47"/>
  <c r="X35" i="47"/>
  <c r="X34" i="47"/>
  <c r="X33" i="47"/>
  <c r="X32" i="47"/>
  <c r="X31" i="47"/>
  <c r="X26" i="47"/>
  <c r="X25" i="47"/>
  <c r="X24" i="47"/>
  <c r="X23" i="47"/>
  <c r="X30" i="47"/>
  <c r="X29" i="47"/>
  <c r="X28" i="47"/>
  <c r="X27" i="47"/>
  <c r="X22" i="47"/>
  <c r="X21" i="47"/>
  <c r="X20" i="47"/>
  <c r="X19" i="47"/>
  <c r="X18" i="47"/>
  <c r="X17" i="47"/>
  <c r="X16" i="47"/>
  <c r="X15" i="47"/>
  <c r="X14" i="47"/>
  <c r="X13" i="47"/>
  <c r="X12" i="47"/>
  <c r="X11" i="47"/>
  <c r="X10" i="47"/>
  <c r="X9" i="47"/>
  <c r="X8" i="47"/>
  <c r="X7" i="47"/>
  <c r="X6" i="47"/>
  <c r="AB47" i="47"/>
  <c r="AB46" i="47"/>
  <c r="AB45" i="47"/>
  <c r="AB44" i="47"/>
  <c r="AB43" i="47"/>
  <c r="AB42" i="47"/>
  <c r="AB40" i="47"/>
  <c r="AB39" i="47"/>
  <c r="AB38" i="47"/>
  <c r="AB37" i="47"/>
  <c r="AB36" i="47"/>
  <c r="AB35" i="47"/>
  <c r="AB34" i="47"/>
  <c r="AB33" i="47"/>
  <c r="AB32" i="47"/>
  <c r="AB31" i="47"/>
  <c r="AB26" i="47"/>
  <c r="AB25" i="47"/>
  <c r="AB24" i="47"/>
  <c r="AB23" i="47"/>
  <c r="AB30" i="47"/>
  <c r="AB29" i="47"/>
  <c r="AB28" i="47"/>
  <c r="AB27" i="47"/>
  <c r="AB22" i="47"/>
  <c r="AB21" i="47"/>
  <c r="AB20" i="47"/>
  <c r="AB19" i="47"/>
  <c r="AB18" i="47"/>
  <c r="AB17" i="47"/>
  <c r="AB16" i="47"/>
  <c r="AB15" i="47"/>
  <c r="AB14" i="47"/>
  <c r="AB13" i="47"/>
  <c r="AB12" i="47"/>
  <c r="AB11" i="47"/>
  <c r="AB10" i="47"/>
  <c r="AB9" i="47"/>
  <c r="AB8" i="47"/>
  <c r="AB7" i="47"/>
  <c r="AB6" i="47"/>
  <c r="AF47" i="47"/>
  <c r="AF46" i="47"/>
  <c r="AF45" i="47"/>
  <c r="AF44" i="47"/>
  <c r="AF43" i="47"/>
  <c r="AF42" i="47"/>
  <c r="AF40" i="47"/>
  <c r="AF39" i="47"/>
  <c r="AF38" i="47"/>
  <c r="AF37" i="47"/>
  <c r="AF36" i="47"/>
  <c r="AF35" i="47"/>
  <c r="AF34" i="47"/>
  <c r="AF33" i="47"/>
  <c r="AF32" i="47"/>
  <c r="AF31" i="47"/>
  <c r="AF26" i="47"/>
  <c r="AF25" i="47"/>
  <c r="AF24" i="47"/>
  <c r="AF23" i="47"/>
  <c r="AF30" i="47"/>
  <c r="AF29" i="47"/>
  <c r="AF28" i="47"/>
  <c r="AF27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J47" i="47"/>
  <c r="AJ46" i="47"/>
  <c r="AJ45" i="47"/>
  <c r="AJ44" i="47"/>
  <c r="AJ43" i="47"/>
  <c r="AJ42" i="47"/>
  <c r="AJ40" i="47"/>
  <c r="AJ39" i="47"/>
  <c r="AJ38" i="47"/>
  <c r="AJ37" i="47"/>
  <c r="AJ36" i="47"/>
  <c r="AJ35" i="47"/>
  <c r="AJ34" i="47"/>
  <c r="AJ33" i="47"/>
  <c r="AJ32" i="47"/>
  <c r="AJ31" i="47"/>
  <c r="AJ26" i="47"/>
  <c r="AJ25" i="47"/>
  <c r="AJ24" i="47"/>
  <c r="AJ23" i="47"/>
  <c r="AJ30" i="47"/>
  <c r="AJ29" i="47"/>
  <c r="AJ28" i="47"/>
  <c r="AJ27" i="47"/>
  <c r="AJ22" i="47"/>
  <c r="AJ21" i="47"/>
  <c r="AJ20" i="47"/>
  <c r="AJ19" i="47"/>
  <c r="AJ18" i="47"/>
  <c r="AJ17" i="47"/>
  <c r="AJ16" i="47"/>
  <c r="AJ15" i="47"/>
  <c r="AJ14" i="47"/>
  <c r="AJ13" i="47"/>
  <c r="AJ12" i="47"/>
  <c r="AJ11" i="47"/>
  <c r="AJ10" i="47"/>
  <c r="AJ9" i="47"/>
  <c r="AJ8" i="47"/>
  <c r="AJ7" i="47"/>
  <c r="AJ6" i="47"/>
  <c r="AO47" i="47"/>
  <c r="AO46" i="47"/>
  <c r="AO45" i="47"/>
  <c r="AO44" i="47"/>
  <c r="AO43" i="47"/>
  <c r="AO42" i="47"/>
  <c r="AO40" i="47"/>
  <c r="AO39" i="47"/>
  <c r="AO38" i="47"/>
  <c r="AO37" i="47"/>
  <c r="AO36" i="47"/>
  <c r="AO35" i="47"/>
  <c r="AO34" i="47"/>
  <c r="AO33" i="47"/>
  <c r="AO32" i="47"/>
  <c r="AO31" i="47"/>
  <c r="AO26" i="47"/>
  <c r="AO25" i="47"/>
  <c r="AO24" i="47"/>
  <c r="AO23" i="47"/>
  <c r="AO30" i="47"/>
  <c r="AO29" i="47"/>
  <c r="AO28" i="47"/>
  <c r="AO27" i="47"/>
  <c r="AO22" i="47"/>
  <c r="AO21" i="47"/>
  <c r="AO20" i="47"/>
  <c r="AO19" i="47"/>
  <c r="AO18" i="47"/>
  <c r="AO17" i="47"/>
  <c r="AO16" i="47"/>
  <c r="AO15" i="47"/>
  <c r="AO14" i="47"/>
  <c r="AO13" i="47"/>
  <c r="AO12" i="47"/>
  <c r="AO11" i="47"/>
  <c r="AO10" i="47"/>
  <c r="AO9" i="47"/>
  <c r="AO8" i="47"/>
  <c r="AO7" i="47"/>
  <c r="AO6" i="47"/>
  <c r="AS47" i="47"/>
  <c r="AS46" i="47"/>
  <c r="AS45" i="47"/>
  <c r="AS44" i="47"/>
  <c r="AS43" i="47"/>
  <c r="AS42" i="47"/>
  <c r="AS40" i="47"/>
  <c r="AS39" i="47"/>
  <c r="AS38" i="47"/>
  <c r="AS37" i="47"/>
  <c r="AS36" i="47"/>
  <c r="AS35" i="47"/>
  <c r="AS34" i="47"/>
  <c r="AS33" i="47"/>
  <c r="AS32" i="47"/>
  <c r="AS31" i="47"/>
  <c r="AS26" i="47"/>
  <c r="AS25" i="47"/>
  <c r="AS24" i="47"/>
  <c r="AS23" i="47"/>
  <c r="AS30" i="47"/>
  <c r="AS29" i="47"/>
  <c r="AS28" i="47"/>
  <c r="AS27" i="47"/>
  <c r="AS22" i="47"/>
  <c r="AS21" i="47"/>
  <c r="AS20" i="47"/>
  <c r="AS19" i="47"/>
  <c r="AS18" i="47"/>
  <c r="AS17" i="47"/>
  <c r="AS16" i="47"/>
  <c r="AS15" i="47"/>
  <c r="AS14" i="47"/>
  <c r="AS13" i="47"/>
  <c r="AS12" i="47"/>
  <c r="AS11" i="47"/>
  <c r="AS10" i="47"/>
  <c r="AS9" i="47"/>
  <c r="AS8" i="47"/>
  <c r="AS7" i="47"/>
  <c r="AS6" i="47"/>
  <c r="AW47" i="47"/>
  <c r="AW46" i="47"/>
  <c r="AW45" i="47"/>
  <c r="AW44" i="47"/>
  <c r="AW43" i="47"/>
  <c r="AW42" i="47"/>
  <c r="AW40" i="47"/>
  <c r="AW39" i="47"/>
  <c r="AW38" i="47"/>
  <c r="AW37" i="47"/>
  <c r="AW36" i="47"/>
  <c r="AW35" i="47"/>
  <c r="AW34" i="47"/>
  <c r="AW33" i="47"/>
  <c r="AW32" i="47"/>
  <c r="AW31" i="47"/>
  <c r="AW26" i="47"/>
  <c r="AW25" i="47"/>
  <c r="AW24" i="47"/>
  <c r="AW23" i="47"/>
  <c r="AW30" i="47"/>
  <c r="AW29" i="47"/>
  <c r="AW28" i="47"/>
  <c r="AW27" i="47"/>
  <c r="AW22" i="47"/>
  <c r="AW21" i="47"/>
  <c r="AW20" i="47"/>
  <c r="AW19" i="47"/>
  <c r="AW18" i="47"/>
  <c r="AW17" i="47"/>
  <c r="AW16" i="47"/>
  <c r="AW15" i="47"/>
  <c r="AW14" i="47"/>
  <c r="AW13" i="47"/>
  <c r="AW12" i="47"/>
  <c r="AW11" i="47"/>
  <c r="AW10" i="47"/>
  <c r="AW9" i="47"/>
  <c r="AW8" i="47"/>
  <c r="AW7" i="47"/>
  <c r="AW6" i="47"/>
  <c r="BA47" i="47"/>
  <c r="BA46" i="47"/>
  <c r="BA45" i="47"/>
  <c r="BA44" i="47"/>
  <c r="BA43" i="47"/>
  <c r="BA42" i="47"/>
  <c r="BA40" i="47"/>
  <c r="BA39" i="47"/>
  <c r="BA38" i="47"/>
  <c r="BA37" i="47"/>
  <c r="BA36" i="47"/>
  <c r="BA35" i="47"/>
  <c r="BA34" i="47"/>
  <c r="BA33" i="47"/>
  <c r="BA32" i="47"/>
  <c r="BA31" i="47"/>
  <c r="BA26" i="47"/>
  <c r="BA25" i="47"/>
  <c r="BA24" i="47"/>
  <c r="BA23" i="47"/>
  <c r="BA22" i="47"/>
  <c r="BA30" i="47"/>
  <c r="BA29" i="47"/>
  <c r="BA28" i="47"/>
  <c r="BA27" i="47"/>
  <c r="BA21" i="47"/>
  <c r="BA20" i="47"/>
  <c r="BA19" i="47"/>
  <c r="BA18" i="47"/>
  <c r="BA17" i="47"/>
  <c r="BA16" i="47"/>
  <c r="BA15" i="47"/>
  <c r="BA14" i="47"/>
  <c r="BA13" i="47"/>
  <c r="BA12" i="47"/>
  <c r="BA11" i="47"/>
  <c r="BA10" i="47"/>
  <c r="BA9" i="47"/>
  <c r="BA8" i="47"/>
  <c r="BA7" i="47"/>
  <c r="BA6" i="47"/>
  <c r="S47" i="47"/>
  <c r="S46" i="47"/>
  <c r="S45" i="47"/>
  <c r="S44" i="47"/>
  <c r="S43" i="47"/>
  <c r="S42" i="47"/>
  <c r="S40" i="47"/>
  <c r="S39" i="47"/>
  <c r="S38" i="47"/>
  <c r="S37" i="47"/>
  <c r="S36" i="47"/>
  <c r="S35" i="47"/>
  <c r="S34" i="47"/>
  <c r="S33" i="47"/>
  <c r="S32" i="47"/>
  <c r="S31" i="47"/>
  <c r="S30" i="47"/>
  <c r="S29" i="47"/>
  <c r="S28" i="47"/>
  <c r="S27" i="47"/>
  <c r="S26" i="47"/>
  <c r="S25" i="47"/>
  <c r="S24" i="47"/>
  <c r="S23" i="47"/>
  <c r="S22" i="47"/>
  <c r="S21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R4" i="47"/>
  <c r="W47" i="47"/>
  <c r="W46" i="47"/>
  <c r="W45" i="47"/>
  <c r="W44" i="47"/>
  <c r="W43" i="47"/>
  <c r="W42" i="47"/>
  <c r="W40" i="47"/>
  <c r="W39" i="47"/>
  <c r="W38" i="47"/>
  <c r="W37" i="47"/>
  <c r="W36" i="47"/>
  <c r="W35" i="47"/>
  <c r="W34" i="47"/>
  <c r="W33" i="47"/>
  <c r="W32" i="47"/>
  <c r="W31" i="47"/>
  <c r="W30" i="47"/>
  <c r="W29" i="47"/>
  <c r="W28" i="47"/>
  <c r="W27" i="47"/>
  <c r="W26" i="47"/>
  <c r="W25" i="47"/>
  <c r="W24" i="47"/>
  <c r="W23" i="47"/>
  <c r="W22" i="47"/>
  <c r="W21" i="47"/>
  <c r="W20" i="47"/>
  <c r="W19" i="47"/>
  <c r="W18" i="47"/>
  <c r="W17" i="47"/>
  <c r="W16" i="47"/>
  <c r="W15" i="47"/>
  <c r="W14" i="47"/>
  <c r="W13" i="47"/>
  <c r="W12" i="47"/>
  <c r="W11" i="47"/>
  <c r="W10" i="47"/>
  <c r="W9" i="47"/>
  <c r="W8" i="47"/>
  <c r="W7" i="47"/>
  <c r="W6" i="47"/>
  <c r="AA47" i="47"/>
  <c r="AA46" i="47"/>
  <c r="AA45" i="47"/>
  <c r="AA44" i="47"/>
  <c r="AA43" i="47"/>
  <c r="AA42" i="47"/>
  <c r="AA40" i="47"/>
  <c r="AA39" i="47"/>
  <c r="AA38" i="47"/>
  <c r="AA37" i="47"/>
  <c r="AA36" i="47"/>
  <c r="AA35" i="47"/>
  <c r="AA34" i="47"/>
  <c r="AA33" i="47"/>
  <c r="AA32" i="47"/>
  <c r="AA31" i="47"/>
  <c r="AA30" i="47"/>
  <c r="AA29" i="47"/>
  <c r="AA28" i="47"/>
  <c r="AA27" i="47"/>
  <c r="AA26" i="47"/>
  <c r="AA25" i="47"/>
  <c r="AA24" i="47"/>
  <c r="AA23" i="47"/>
  <c r="AA22" i="47"/>
  <c r="AA21" i="47"/>
  <c r="AA20" i="47"/>
  <c r="AA19" i="47"/>
  <c r="AA18" i="47"/>
  <c r="AA17" i="47"/>
  <c r="AA16" i="47"/>
  <c r="AA15" i="47"/>
  <c r="AA14" i="47"/>
  <c r="AA13" i="47"/>
  <c r="AA12" i="47"/>
  <c r="AA11" i="47"/>
  <c r="AA10" i="47"/>
  <c r="AA9" i="47"/>
  <c r="AA8" i="47"/>
  <c r="AA7" i="47"/>
  <c r="AA6" i="47"/>
  <c r="AE47" i="47"/>
  <c r="AE46" i="47"/>
  <c r="AE45" i="47"/>
  <c r="AE44" i="47"/>
  <c r="AE43" i="47"/>
  <c r="AE42" i="47"/>
  <c r="AE40" i="47"/>
  <c r="AE39" i="47"/>
  <c r="AE38" i="47"/>
  <c r="AE37" i="47"/>
  <c r="AE36" i="47"/>
  <c r="AE35" i="47"/>
  <c r="AE34" i="47"/>
  <c r="AE33" i="47"/>
  <c r="AE32" i="47"/>
  <c r="AE31" i="47"/>
  <c r="AE30" i="47"/>
  <c r="AE29" i="47"/>
  <c r="AE28" i="47"/>
  <c r="AE27" i="47"/>
  <c r="AE26" i="47"/>
  <c r="AE25" i="47"/>
  <c r="AE24" i="47"/>
  <c r="AE23" i="47"/>
  <c r="AE22" i="47"/>
  <c r="AE21" i="47"/>
  <c r="AE20" i="47"/>
  <c r="AE19" i="47"/>
  <c r="AE18" i="47"/>
  <c r="AE17" i="47"/>
  <c r="AE16" i="47"/>
  <c r="AE15" i="47"/>
  <c r="AE14" i="47"/>
  <c r="AE13" i="47"/>
  <c r="AE12" i="47"/>
  <c r="AE11" i="47"/>
  <c r="AE10" i="47"/>
  <c r="AE9" i="47"/>
  <c r="AE8" i="47"/>
  <c r="AE7" i="47"/>
  <c r="AE6" i="47"/>
  <c r="AI47" i="47"/>
  <c r="AI46" i="47"/>
  <c r="AI45" i="47"/>
  <c r="AI44" i="47"/>
  <c r="AI43" i="47"/>
  <c r="AI42" i="47"/>
  <c r="AI40" i="47"/>
  <c r="AI39" i="47"/>
  <c r="AI38" i="47"/>
  <c r="AI37" i="47"/>
  <c r="AI36" i="47"/>
  <c r="AI35" i="47"/>
  <c r="AI34" i="47"/>
  <c r="AI33" i="47"/>
  <c r="AI32" i="47"/>
  <c r="AI31" i="47"/>
  <c r="AI30" i="47"/>
  <c r="AI29" i="47"/>
  <c r="AI28" i="47"/>
  <c r="AI27" i="47"/>
  <c r="AI26" i="47"/>
  <c r="AI25" i="47"/>
  <c r="AI24" i="47"/>
  <c r="AI23" i="47"/>
  <c r="AI22" i="47"/>
  <c r="AI21" i="47"/>
  <c r="AI20" i="47"/>
  <c r="AI19" i="47"/>
  <c r="AI18" i="47"/>
  <c r="AI17" i="47"/>
  <c r="AI16" i="47"/>
  <c r="AI15" i="47"/>
  <c r="AI14" i="47"/>
  <c r="AI13" i="47"/>
  <c r="AI12" i="47"/>
  <c r="AI11" i="47"/>
  <c r="AI10" i="47"/>
  <c r="AI9" i="47"/>
  <c r="AI8" i="47"/>
  <c r="AI7" i="47"/>
  <c r="AI6" i="47"/>
  <c r="AP47" i="47"/>
  <c r="AP46" i="47"/>
  <c r="AP45" i="47"/>
  <c r="AP44" i="47"/>
  <c r="AP43" i="47"/>
  <c r="AP42" i="47"/>
  <c r="AP40" i="47"/>
  <c r="AP39" i="47"/>
  <c r="AP38" i="47"/>
  <c r="AP37" i="47"/>
  <c r="AP36" i="47"/>
  <c r="AP35" i="47"/>
  <c r="AP34" i="47"/>
  <c r="AP33" i="47"/>
  <c r="AP32" i="47"/>
  <c r="AP31" i="47"/>
  <c r="AP30" i="47"/>
  <c r="AP29" i="47"/>
  <c r="AP28" i="47"/>
  <c r="AP27" i="47"/>
  <c r="AP26" i="47"/>
  <c r="AP25" i="47"/>
  <c r="AP24" i="47"/>
  <c r="AP23" i="47"/>
  <c r="AP22" i="47"/>
  <c r="AP21" i="47"/>
  <c r="AP20" i="47"/>
  <c r="AP19" i="47"/>
  <c r="AP18" i="47"/>
  <c r="AP17" i="47"/>
  <c r="AP16" i="47"/>
  <c r="AP15" i="47"/>
  <c r="AP14" i="47"/>
  <c r="AP13" i="47"/>
  <c r="AP12" i="47"/>
  <c r="AP11" i="47"/>
  <c r="AP10" i="47"/>
  <c r="AP9" i="47"/>
  <c r="AP8" i="47"/>
  <c r="AP7" i="47"/>
  <c r="AP6" i="47"/>
  <c r="AT47" i="47"/>
  <c r="AT46" i="47"/>
  <c r="AT45" i="47"/>
  <c r="AT44" i="47"/>
  <c r="AT43" i="47"/>
  <c r="AT42" i="47"/>
  <c r="AT40" i="47"/>
  <c r="AT39" i="47"/>
  <c r="AT38" i="47"/>
  <c r="AT37" i="47"/>
  <c r="AT36" i="47"/>
  <c r="AT35" i="47"/>
  <c r="AT34" i="47"/>
  <c r="AT33" i="47"/>
  <c r="AT32" i="47"/>
  <c r="AT31" i="47"/>
  <c r="AT30" i="47"/>
  <c r="AT29" i="47"/>
  <c r="AT28" i="47"/>
  <c r="AT27" i="47"/>
  <c r="AT26" i="47"/>
  <c r="AT25" i="47"/>
  <c r="AT24" i="47"/>
  <c r="AT23" i="47"/>
  <c r="AT22" i="47"/>
  <c r="AT21" i="47"/>
  <c r="AT20" i="47"/>
  <c r="AT19" i="47"/>
  <c r="AT18" i="47"/>
  <c r="AT17" i="47"/>
  <c r="AT16" i="47"/>
  <c r="AT15" i="47"/>
  <c r="AT14" i="47"/>
  <c r="AT13" i="47"/>
  <c r="AT12" i="47"/>
  <c r="AT11" i="47"/>
  <c r="AT10" i="47"/>
  <c r="AT9" i="47"/>
  <c r="AT8" i="47"/>
  <c r="AT7" i="47"/>
  <c r="AT6" i="47"/>
  <c r="AX47" i="47"/>
  <c r="AX46" i="47"/>
  <c r="AX45" i="47"/>
  <c r="AX44" i="47"/>
  <c r="AX43" i="47"/>
  <c r="AX42" i="47"/>
  <c r="AX40" i="47"/>
  <c r="AX39" i="47"/>
  <c r="AX38" i="47"/>
  <c r="AX37" i="47"/>
  <c r="AX36" i="47"/>
  <c r="AX35" i="47"/>
  <c r="AX34" i="47"/>
  <c r="AX33" i="47"/>
  <c r="AX32" i="47"/>
  <c r="AX31" i="47"/>
  <c r="AX30" i="47"/>
  <c r="AX29" i="47"/>
  <c r="AX28" i="47"/>
  <c r="AX27" i="47"/>
  <c r="AX26" i="47"/>
  <c r="AX25" i="47"/>
  <c r="AX24" i="47"/>
  <c r="AX23" i="47"/>
  <c r="AX22" i="47"/>
  <c r="AX21" i="47"/>
  <c r="AX20" i="47"/>
  <c r="AX19" i="47"/>
  <c r="AX18" i="47"/>
  <c r="AX17" i="47"/>
  <c r="AX16" i="47"/>
  <c r="AX15" i="47"/>
  <c r="AX14" i="47"/>
  <c r="AX13" i="47"/>
  <c r="AX12" i="47"/>
  <c r="AX11" i="47"/>
  <c r="AX10" i="47"/>
  <c r="AX9" i="47"/>
  <c r="AX8" i="47"/>
  <c r="AX7" i="47"/>
  <c r="AX6" i="47"/>
  <c r="BB47" i="47"/>
  <c r="BB46" i="47"/>
  <c r="BB45" i="47"/>
  <c r="BB44" i="47"/>
  <c r="BB43" i="47"/>
  <c r="BB42" i="47"/>
  <c r="BB40" i="47"/>
  <c r="BB39" i="47"/>
  <c r="BB38" i="47"/>
  <c r="BB37" i="47"/>
  <c r="BB36" i="47"/>
  <c r="BB35" i="47"/>
  <c r="BB34" i="47"/>
  <c r="BB33" i="47"/>
  <c r="BB32" i="47"/>
  <c r="BB31" i="47"/>
  <c r="BB30" i="47"/>
  <c r="BB29" i="47"/>
  <c r="BB28" i="47"/>
  <c r="BB27" i="47"/>
  <c r="BB26" i="47"/>
  <c r="BB25" i="47"/>
  <c r="BB24" i="47"/>
  <c r="BB23" i="47"/>
  <c r="BB22" i="47"/>
  <c r="BB21" i="47"/>
  <c r="BB20" i="47"/>
  <c r="BB19" i="47"/>
  <c r="BB18" i="47"/>
  <c r="BB17" i="47"/>
  <c r="BB16" i="47"/>
  <c r="BB15" i="47"/>
  <c r="BB14" i="47"/>
  <c r="BB13" i="47"/>
  <c r="BB12" i="47"/>
  <c r="BB11" i="47"/>
  <c r="BB10" i="47"/>
  <c r="BB9" i="47"/>
  <c r="BB8" i="47"/>
  <c r="BB7" i="47"/>
  <c r="BB6" i="47"/>
  <c r="V47" i="47"/>
  <c r="V46" i="47"/>
  <c r="V45" i="47"/>
  <c r="V44" i="47"/>
  <c r="V43" i="47"/>
  <c r="V42" i="47"/>
  <c r="V40" i="47"/>
  <c r="V39" i="47"/>
  <c r="V38" i="47"/>
  <c r="V37" i="47"/>
  <c r="V36" i="47"/>
  <c r="V35" i="47"/>
  <c r="V34" i="47"/>
  <c r="V33" i="47"/>
  <c r="V32" i="47"/>
  <c r="V31" i="47"/>
  <c r="V26" i="47"/>
  <c r="V25" i="47"/>
  <c r="V24" i="47"/>
  <c r="V23" i="47"/>
  <c r="V30" i="47"/>
  <c r="V29" i="47"/>
  <c r="V28" i="47"/>
  <c r="V27" i="47"/>
  <c r="V22" i="47"/>
  <c r="V21" i="47"/>
  <c r="V20" i="47"/>
  <c r="V19" i="47"/>
  <c r="V18" i="47"/>
  <c r="V17" i="47"/>
  <c r="V16" i="47"/>
  <c r="V15" i="47"/>
  <c r="V14" i="47"/>
  <c r="V13" i="47"/>
  <c r="V12" i="47"/>
  <c r="V11" i="47"/>
  <c r="V10" i="47"/>
  <c r="V9" i="47"/>
  <c r="V8" i="47"/>
  <c r="V7" i="47"/>
  <c r="V6" i="47"/>
  <c r="Z47" i="47"/>
  <c r="Z46" i="47"/>
  <c r="Z45" i="47"/>
  <c r="Z44" i="47"/>
  <c r="Z43" i="47"/>
  <c r="Z42" i="47"/>
  <c r="Z40" i="47"/>
  <c r="Z39" i="47"/>
  <c r="Z38" i="47"/>
  <c r="Z37" i="47"/>
  <c r="Z36" i="47"/>
  <c r="Z35" i="47"/>
  <c r="Z34" i="47"/>
  <c r="Z33" i="47"/>
  <c r="Z32" i="47"/>
  <c r="Z31" i="47"/>
  <c r="Z26" i="47"/>
  <c r="Z25" i="47"/>
  <c r="Z24" i="47"/>
  <c r="Z23" i="47"/>
  <c r="Z30" i="47"/>
  <c r="Z29" i="47"/>
  <c r="Z28" i="47"/>
  <c r="Z27" i="47"/>
  <c r="Z22" i="47"/>
  <c r="Z21" i="47"/>
  <c r="Z20" i="47"/>
  <c r="Z19" i="47"/>
  <c r="Z18" i="47"/>
  <c r="Z17" i="47"/>
  <c r="Z16" i="47"/>
  <c r="Z15" i="47"/>
  <c r="Z14" i="47"/>
  <c r="Z13" i="47"/>
  <c r="Z12" i="47"/>
  <c r="Z11" i="47"/>
  <c r="Z10" i="47"/>
  <c r="Z9" i="47"/>
  <c r="Z8" i="47"/>
  <c r="Z7" i="47"/>
  <c r="Z6" i="47"/>
  <c r="AD47" i="47"/>
  <c r="AD46" i="47"/>
  <c r="AD45" i="47"/>
  <c r="AD44" i="47"/>
  <c r="AD43" i="47"/>
  <c r="AD42" i="47"/>
  <c r="AD40" i="47"/>
  <c r="AD39" i="47"/>
  <c r="AD38" i="47"/>
  <c r="AD37" i="47"/>
  <c r="AD36" i="47"/>
  <c r="AD35" i="47"/>
  <c r="AD34" i="47"/>
  <c r="AD33" i="47"/>
  <c r="AD32" i="47"/>
  <c r="AD31" i="47"/>
  <c r="AD26" i="47"/>
  <c r="AD25" i="47"/>
  <c r="AD24" i="47"/>
  <c r="AD23" i="47"/>
  <c r="AD30" i="47"/>
  <c r="AD29" i="47"/>
  <c r="AD28" i="47"/>
  <c r="AD27" i="47"/>
  <c r="AD22" i="47"/>
  <c r="AD21" i="47"/>
  <c r="AD20" i="47"/>
  <c r="AD19" i="47"/>
  <c r="AD18" i="47"/>
  <c r="AD17" i="47"/>
  <c r="AD16" i="47"/>
  <c r="AD15" i="47"/>
  <c r="AD14" i="47"/>
  <c r="AD13" i="47"/>
  <c r="AD12" i="47"/>
  <c r="AD11" i="47"/>
  <c r="AD10" i="47"/>
  <c r="AD9" i="47"/>
  <c r="AD8" i="47"/>
  <c r="AD7" i="47"/>
  <c r="AD6" i="47"/>
  <c r="AH47" i="47"/>
  <c r="AH46" i="47"/>
  <c r="AH45" i="47"/>
  <c r="AH44" i="47"/>
  <c r="AH43" i="47"/>
  <c r="AH42" i="47"/>
  <c r="AH40" i="47"/>
  <c r="AH39" i="47"/>
  <c r="AH38" i="47"/>
  <c r="AH37" i="47"/>
  <c r="AH36" i="47"/>
  <c r="AH35" i="47"/>
  <c r="AH34" i="47"/>
  <c r="AH33" i="47"/>
  <c r="AH32" i="47"/>
  <c r="AH31" i="47"/>
  <c r="AH26" i="47"/>
  <c r="AH25" i="47"/>
  <c r="AH24" i="47"/>
  <c r="AH23" i="47"/>
  <c r="AH30" i="47"/>
  <c r="AH29" i="47"/>
  <c r="AH28" i="47"/>
  <c r="AH27" i="47"/>
  <c r="AH22" i="47"/>
  <c r="AH21" i="47"/>
  <c r="AH20" i="47"/>
  <c r="AH19" i="47"/>
  <c r="AH18" i="47"/>
  <c r="AH17" i="47"/>
  <c r="AH16" i="47"/>
  <c r="AH15" i="47"/>
  <c r="AH14" i="47"/>
  <c r="AH13" i="47"/>
  <c r="AH12" i="47"/>
  <c r="AH11" i="47"/>
  <c r="AH10" i="47"/>
  <c r="AH9" i="47"/>
  <c r="AH8" i="47"/>
  <c r="AH7" i="47"/>
  <c r="AH6" i="47"/>
  <c r="AM47" i="47"/>
  <c r="AM46" i="47"/>
  <c r="AM45" i="47"/>
  <c r="AM44" i="47"/>
  <c r="AM43" i="47"/>
  <c r="AM42" i="47"/>
  <c r="AM40" i="47"/>
  <c r="AM39" i="47"/>
  <c r="AM38" i="47"/>
  <c r="AM37" i="47"/>
  <c r="AM36" i="47"/>
  <c r="AM35" i="47"/>
  <c r="AM34" i="47"/>
  <c r="AM33" i="47"/>
  <c r="AM32" i="47"/>
  <c r="AM31" i="47"/>
  <c r="AM26" i="47"/>
  <c r="AM25" i="47"/>
  <c r="AM24" i="47"/>
  <c r="AM23" i="47"/>
  <c r="AM30" i="47"/>
  <c r="AM29" i="47"/>
  <c r="AM28" i="47"/>
  <c r="AM27" i="47"/>
  <c r="AM22" i="47"/>
  <c r="AM21" i="47"/>
  <c r="AM20" i="47"/>
  <c r="AM19" i="47"/>
  <c r="AM18" i="47"/>
  <c r="AM17" i="47"/>
  <c r="AM16" i="47"/>
  <c r="AM15" i="47"/>
  <c r="AM14" i="47"/>
  <c r="AM13" i="47"/>
  <c r="AM12" i="47"/>
  <c r="AM11" i="47"/>
  <c r="AM10" i="47"/>
  <c r="AM9" i="47"/>
  <c r="AM8" i="47"/>
  <c r="AM7" i="47"/>
  <c r="AL4" i="47"/>
  <c r="AM6" i="47"/>
  <c r="AQ47" i="47"/>
  <c r="AQ46" i="47"/>
  <c r="AQ45" i="47"/>
  <c r="AQ44" i="47"/>
  <c r="AQ43" i="47"/>
  <c r="AQ42" i="47"/>
  <c r="AQ40" i="47"/>
  <c r="AQ39" i="47"/>
  <c r="AQ38" i="47"/>
  <c r="AQ37" i="47"/>
  <c r="AQ36" i="47"/>
  <c r="AQ35" i="47"/>
  <c r="AQ34" i="47"/>
  <c r="AQ33" i="47"/>
  <c r="AQ32" i="47"/>
  <c r="AQ31" i="47"/>
  <c r="AQ26" i="47"/>
  <c r="AQ25" i="47"/>
  <c r="AQ24" i="47"/>
  <c r="AQ23" i="47"/>
  <c r="AQ30" i="47"/>
  <c r="AQ29" i="47"/>
  <c r="AQ28" i="47"/>
  <c r="AQ27" i="47"/>
  <c r="AQ22" i="47"/>
  <c r="AQ21" i="47"/>
  <c r="AQ20" i="47"/>
  <c r="AQ19" i="47"/>
  <c r="AQ18" i="47"/>
  <c r="AQ17" i="47"/>
  <c r="AQ16" i="47"/>
  <c r="AQ15" i="47"/>
  <c r="AQ14" i="47"/>
  <c r="AQ13" i="47"/>
  <c r="AQ12" i="47"/>
  <c r="AQ11" i="47"/>
  <c r="AQ10" i="47"/>
  <c r="AQ9" i="47"/>
  <c r="AQ8" i="47"/>
  <c r="AQ7" i="47"/>
  <c r="AQ6" i="47"/>
  <c r="AU47" i="47"/>
  <c r="AU46" i="47"/>
  <c r="AU45" i="47"/>
  <c r="AU44" i="47"/>
  <c r="AU43" i="47"/>
  <c r="AU42" i="47"/>
  <c r="AU40" i="47"/>
  <c r="AU39" i="47"/>
  <c r="AU38" i="47"/>
  <c r="AU37" i="47"/>
  <c r="AU36" i="47"/>
  <c r="AU35" i="47"/>
  <c r="AU34" i="47"/>
  <c r="AU33" i="47"/>
  <c r="AU32" i="47"/>
  <c r="AU31" i="47"/>
  <c r="AU26" i="47"/>
  <c r="AU25" i="47"/>
  <c r="AU24" i="47"/>
  <c r="AU23" i="47"/>
  <c r="AU30" i="47"/>
  <c r="AU29" i="47"/>
  <c r="AU28" i="47"/>
  <c r="AU27" i="47"/>
  <c r="AU22" i="47"/>
  <c r="AU21" i="47"/>
  <c r="AU20" i="47"/>
  <c r="AU19" i="47"/>
  <c r="AU18" i="47"/>
  <c r="AU17" i="47"/>
  <c r="AU16" i="47"/>
  <c r="AU15" i="47"/>
  <c r="AU14" i="47"/>
  <c r="AU13" i="47"/>
  <c r="AU12" i="47"/>
  <c r="AU11" i="47"/>
  <c r="AU10" i="47"/>
  <c r="AU9" i="47"/>
  <c r="AU8" i="47"/>
  <c r="AU7" i="47"/>
  <c r="AU6" i="47"/>
  <c r="AY47" i="47"/>
  <c r="AY46" i="47"/>
  <c r="AY45" i="47"/>
  <c r="AY44" i="47"/>
  <c r="AY43" i="47"/>
  <c r="AY42" i="47"/>
  <c r="AY40" i="47"/>
  <c r="AY39" i="47"/>
  <c r="AY38" i="47"/>
  <c r="AY37" i="47"/>
  <c r="AY36" i="47"/>
  <c r="AY35" i="47"/>
  <c r="AY34" i="47"/>
  <c r="AY33" i="47"/>
  <c r="AY32" i="47"/>
  <c r="AY31" i="47"/>
  <c r="AY26" i="47"/>
  <c r="AY25" i="47"/>
  <c r="AY24" i="47"/>
  <c r="AY23" i="47"/>
  <c r="AY22" i="47"/>
  <c r="AY30" i="47"/>
  <c r="AY29" i="47"/>
  <c r="AY28" i="47"/>
  <c r="AY27" i="47"/>
  <c r="AY21" i="47"/>
  <c r="AY20" i="47"/>
  <c r="AY19" i="47"/>
  <c r="AY18" i="47"/>
  <c r="AY17" i="47"/>
  <c r="AY16" i="47"/>
  <c r="AY15" i="47"/>
  <c r="AY14" i="47"/>
  <c r="AY13" i="47"/>
  <c r="AY12" i="47"/>
  <c r="AY11" i="47"/>
  <c r="AY10" i="47"/>
  <c r="AY9" i="47"/>
  <c r="AY8" i="47"/>
  <c r="AY7" i="47"/>
  <c r="AY6" i="47"/>
  <c r="BC47" i="47"/>
  <c r="BC46" i="47"/>
  <c r="BC45" i="47"/>
  <c r="BC44" i="47"/>
  <c r="BC43" i="47"/>
  <c r="BC42" i="47"/>
  <c r="BC40" i="47"/>
  <c r="BC39" i="47"/>
  <c r="BC38" i="47"/>
  <c r="BC37" i="47"/>
  <c r="BC36" i="47"/>
  <c r="BC35" i="47"/>
  <c r="BC34" i="47"/>
  <c r="BC33" i="47"/>
  <c r="BC32" i="47"/>
  <c r="BC31" i="47"/>
  <c r="BC26" i="47"/>
  <c r="BC25" i="47"/>
  <c r="BC24" i="47"/>
  <c r="BC23" i="47"/>
  <c r="BC22" i="47"/>
  <c r="BC30" i="47"/>
  <c r="BC29" i="47"/>
  <c r="BC28" i="47"/>
  <c r="BC27" i="47"/>
  <c r="BC21" i="47"/>
  <c r="BC20" i="47"/>
  <c r="BC19" i="47"/>
  <c r="BC18" i="47"/>
  <c r="BC17" i="47"/>
  <c r="BC16" i="47"/>
  <c r="BC15" i="47"/>
  <c r="BC14" i="47"/>
  <c r="BC13" i="47"/>
  <c r="BC12" i="47"/>
  <c r="BC11" i="47"/>
  <c r="BC10" i="47"/>
  <c r="BC9" i="47"/>
  <c r="BC8" i="47"/>
  <c r="BC7" i="47"/>
  <c r="BC6" i="47"/>
  <c r="U47" i="47"/>
  <c r="U46" i="47"/>
  <c r="U45" i="47"/>
  <c r="U44" i="47"/>
  <c r="U43" i="47"/>
  <c r="U42" i="47"/>
  <c r="U40" i="47"/>
  <c r="U39" i="47"/>
  <c r="U38" i="47"/>
  <c r="U37" i="47"/>
  <c r="U36" i="47"/>
  <c r="U35" i="47"/>
  <c r="U34" i="47"/>
  <c r="U33" i="47"/>
  <c r="U32" i="47"/>
  <c r="U31" i="47"/>
  <c r="U30" i="47"/>
  <c r="U29" i="47"/>
  <c r="U28" i="47"/>
  <c r="U27" i="47"/>
  <c r="U26" i="47"/>
  <c r="U25" i="47"/>
  <c r="U24" i="47"/>
  <c r="U23" i="47"/>
  <c r="U22" i="47"/>
  <c r="U21" i="47"/>
  <c r="U20" i="47"/>
  <c r="U19" i="47"/>
  <c r="U18" i="47"/>
  <c r="U17" i="47"/>
  <c r="U16" i="47"/>
  <c r="U15" i="47"/>
  <c r="U14" i="47"/>
  <c r="U13" i="47"/>
  <c r="U12" i="47"/>
  <c r="U11" i="47"/>
  <c r="U10" i="47"/>
  <c r="U9" i="47"/>
  <c r="U8" i="47"/>
  <c r="U7" i="47"/>
  <c r="U6" i="47"/>
  <c r="Y47" i="47"/>
  <c r="Y46" i="47"/>
  <c r="Y45" i="47"/>
  <c r="Y44" i="47"/>
  <c r="Y43" i="47"/>
  <c r="Y42" i="47"/>
  <c r="Y40" i="47"/>
  <c r="Y39" i="47"/>
  <c r="Y38" i="47"/>
  <c r="Y37" i="47"/>
  <c r="Y36" i="47"/>
  <c r="Y35" i="47"/>
  <c r="Y34" i="47"/>
  <c r="Y33" i="47"/>
  <c r="Y32" i="47"/>
  <c r="Y31" i="47"/>
  <c r="Y30" i="47"/>
  <c r="Y29" i="47"/>
  <c r="Y28" i="47"/>
  <c r="Y27" i="47"/>
  <c r="Y26" i="47"/>
  <c r="Y25" i="47"/>
  <c r="Y24" i="47"/>
  <c r="Y23" i="47"/>
  <c r="Y22" i="47"/>
  <c r="Y21" i="47"/>
  <c r="Y20" i="47"/>
  <c r="Y19" i="47"/>
  <c r="Y18" i="47"/>
  <c r="Y17" i="47"/>
  <c r="Y16" i="47"/>
  <c r="Y15" i="47"/>
  <c r="Y14" i="47"/>
  <c r="Y13" i="47"/>
  <c r="Y12" i="47"/>
  <c r="Y11" i="47"/>
  <c r="Y10" i="47"/>
  <c r="Y9" i="47"/>
  <c r="Y8" i="47"/>
  <c r="Y7" i="47"/>
  <c r="Y6" i="47"/>
  <c r="AC47" i="47"/>
  <c r="AC46" i="47"/>
  <c r="AC45" i="47"/>
  <c r="AC44" i="47"/>
  <c r="AC43" i="47"/>
  <c r="AC42" i="47"/>
  <c r="AC40" i="47"/>
  <c r="AC39" i="47"/>
  <c r="AC38" i="47"/>
  <c r="AC37" i="47"/>
  <c r="AC36" i="47"/>
  <c r="AC35" i="47"/>
  <c r="AC34" i="47"/>
  <c r="AC33" i="47"/>
  <c r="AC32" i="47"/>
  <c r="AC31" i="47"/>
  <c r="AC30" i="47"/>
  <c r="AC29" i="47"/>
  <c r="AC28" i="47"/>
  <c r="AC27" i="47"/>
  <c r="AC26" i="47"/>
  <c r="AC25" i="47"/>
  <c r="AC24" i="47"/>
  <c r="AC23" i="47"/>
  <c r="AC22" i="47"/>
  <c r="AC21" i="47"/>
  <c r="AC20" i="47"/>
  <c r="AC19" i="47"/>
  <c r="AC18" i="47"/>
  <c r="AC17" i="47"/>
  <c r="AC16" i="47"/>
  <c r="AC15" i="47"/>
  <c r="AC14" i="47"/>
  <c r="AC13" i="47"/>
  <c r="AC12" i="47"/>
  <c r="AC11" i="47"/>
  <c r="AC10" i="47"/>
  <c r="AC9" i="47"/>
  <c r="AC8" i="47"/>
  <c r="AC7" i="47"/>
  <c r="AC6" i="47"/>
  <c r="AG47" i="47"/>
  <c r="AG46" i="47"/>
  <c r="AG45" i="47"/>
  <c r="AG44" i="47"/>
  <c r="AG43" i="47"/>
  <c r="AG42" i="47"/>
  <c r="AG40" i="47"/>
  <c r="AG39" i="47"/>
  <c r="AG38" i="47"/>
  <c r="AG37" i="47"/>
  <c r="AG36" i="47"/>
  <c r="AG35" i="47"/>
  <c r="AG34" i="47"/>
  <c r="AG33" i="47"/>
  <c r="AG32" i="47"/>
  <c r="AG31" i="47"/>
  <c r="AG30" i="47"/>
  <c r="AG29" i="47"/>
  <c r="AG28" i="47"/>
  <c r="AG27" i="47"/>
  <c r="AG26" i="47"/>
  <c r="AG25" i="47"/>
  <c r="AG24" i="47"/>
  <c r="AG23" i="47"/>
  <c r="AG22" i="47"/>
  <c r="AG21" i="47"/>
  <c r="AG20" i="47"/>
  <c r="AG19" i="47"/>
  <c r="AG18" i="47"/>
  <c r="AG17" i="47"/>
  <c r="AG16" i="47"/>
  <c r="AG15" i="47"/>
  <c r="AG14" i="47"/>
  <c r="AG13" i="47"/>
  <c r="AG12" i="47"/>
  <c r="AG11" i="47"/>
  <c r="AG10" i="47"/>
  <c r="AG9" i="47"/>
  <c r="AG8" i="47"/>
  <c r="AG7" i="47"/>
  <c r="AG6" i="47"/>
  <c r="AN47" i="47"/>
  <c r="AN46" i="47"/>
  <c r="AN45" i="47"/>
  <c r="AN44" i="47"/>
  <c r="AN43" i="47"/>
  <c r="AN42" i="47"/>
  <c r="AN40" i="47"/>
  <c r="AN39" i="47"/>
  <c r="AN38" i="47"/>
  <c r="AN37" i="47"/>
  <c r="AN36" i="47"/>
  <c r="AN35" i="47"/>
  <c r="AN34" i="47"/>
  <c r="AN33" i="47"/>
  <c r="AN32" i="47"/>
  <c r="AN31" i="47"/>
  <c r="AN30" i="47"/>
  <c r="AN29" i="47"/>
  <c r="AN28" i="47"/>
  <c r="AN27" i="47"/>
  <c r="AN26" i="47"/>
  <c r="AN25" i="47"/>
  <c r="AN24" i="47"/>
  <c r="AN23" i="47"/>
  <c r="AN22" i="47"/>
  <c r="AN21" i="47"/>
  <c r="AN20" i="47"/>
  <c r="AN19" i="47"/>
  <c r="AN18" i="47"/>
  <c r="AN17" i="47"/>
  <c r="AN16" i="47"/>
  <c r="AN15" i="47"/>
  <c r="AN14" i="47"/>
  <c r="AN13" i="47"/>
  <c r="AN12" i="47"/>
  <c r="AN11" i="47"/>
  <c r="AN10" i="47"/>
  <c r="AN9" i="47"/>
  <c r="AN8" i="47"/>
  <c r="AN7" i="47"/>
  <c r="AN6" i="47"/>
  <c r="AR47" i="47"/>
  <c r="AR46" i="47"/>
  <c r="AR45" i="47"/>
  <c r="AR44" i="47"/>
  <c r="AR43" i="47"/>
  <c r="AR42" i="47"/>
  <c r="AR40" i="47"/>
  <c r="AR39" i="47"/>
  <c r="AR38" i="47"/>
  <c r="AR37" i="47"/>
  <c r="AR36" i="47"/>
  <c r="AR35" i="47"/>
  <c r="AR34" i="47"/>
  <c r="AR33" i="47"/>
  <c r="AR32" i="47"/>
  <c r="AR31" i="47"/>
  <c r="AR30" i="47"/>
  <c r="AR29" i="47"/>
  <c r="AR28" i="47"/>
  <c r="AR27" i="47"/>
  <c r="AR26" i="47"/>
  <c r="AR25" i="47"/>
  <c r="AR24" i="47"/>
  <c r="AR23" i="47"/>
  <c r="AR22" i="47"/>
  <c r="AR21" i="47"/>
  <c r="AR20" i="47"/>
  <c r="AR19" i="47"/>
  <c r="AR18" i="47"/>
  <c r="AR17" i="47"/>
  <c r="AR16" i="47"/>
  <c r="AR15" i="47"/>
  <c r="AR14" i="47"/>
  <c r="AR13" i="47"/>
  <c r="AR12" i="47"/>
  <c r="AR11" i="47"/>
  <c r="AR10" i="47"/>
  <c r="AR9" i="47"/>
  <c r="AR8" i="47"/>
  <c r="AR7" i="47"/>
  <c r="AR6" i="47"/>
  <c r="AV47" i="47"/>
  <c r="AV46" i="47"/>
  <c r="AV45" i="47"/>
  <c r="AV44" i="47"/>
  <c r="AV43" i="47"/>
  <c r="AV42" i="47"/>
  <c r="AV40" i="47"/>
  <c r="AV39" i="47"/>
  <c r="AV38" i="47"/>
  <c r="AV37" i="47"/>
  <c r="AV36" i="47"/>
  <c r="AV35" i="47"/>
  <c r="AV34" i="47"/>
  <c r="AV33" i="47"/>
  <c r="AV32" i="47"/>
  <c r="AV31" i="47"/>
  <c r="AV30" i="47"/>
  <c r="AV29" i="47"/>
  <c r="AV28" i="47"/>
  <c r="AV27" i="47"/>
  <c r="AV26" i="47"/>
  <c r="AV25" i="47"/>
  <c r="AV24" i="47"/>
  <c r="AV23" i="47"/>
  <c r="AV22" i="47"/>
  <c r="AV21" i="47"/>
  <c r="AV20" i="47"/>
  <c r="AV19" i="47"/>
  <c r="AV18" i="47"/>
  <c r="AV17" i="47"/>
  <c r="AV16" i="47"/>
  <c r="AV15" i="47"/>
  <c r="AV14" i="47"/>
  <c r="AV13" i="47"/>
  <c r="AV12" i="47"/>
  <c r="AV11" i="47"/>
  <c r="AV10" i="47"/>
  <c r="AV9" i="47"/>
  <c r="AV8" i="47"/>
  <c r="AV7" i="47"/>
  <c r="AV6" i="47"/>
  <c r="AZ47" i="47"/>
  <c r="AZ46" i="47"/>
  <c r="AZ45" i="47"/>
  <c r="AZ44" i="47"/>
  <c r="AZ43" i="47"/>
  <c r="AZ42" i="47"/>
  <c r="AZ40" i="47"/>
  <c r="AZ39" i="47"/>
  <c r="AZ38" i="47"/>
  <c r="AZ37" i="47"/>
  <c r="AZ36" i="47"/>
  <c r="AZ35" i="47"/>
  <c r="AZ34" i="47"/>
  <c r="AZ33" i="47"/>
  <c r="AZ32" i="47"/>
  <c r="AZ31" i="47"/>
  <c r="AZ30" i="47"/>
  <c r="AZ29" i="47"/>
  <c r="AZ28" i="47"/>
  <c r="AZ27" i="47"/>
  <c r="AZ26" i="47"/>
  <c r="AZ25" i="47"/>
  <c r="AZ24" i="47"/>
  <c r="AZ23" i="47"/>
  <c r="AZ22" i="47"/>
  <c r="AZ21" i="47"/>
  <c r="AZ20" i="47"/>
  <c r="AZ19" i="47"/>
  <c r="AZ18" i="47"/>
  <c r="AZ17" i="47"/>
  <c r="AZ16" i="47"/>
  <c r="AZ15" i="47"/>
  <c r="AZ14" i="47"/>
  <c r="AZ13" i="47"/>
  <c r="AZ12" i="47"/>
  <c r="AZ11" i="47"/>
  <c r="AZ10" i="47"/>
  <c r="AZ9" i="47"/>
  <c r="AZ8" i="47"/>
  <c r="AZ7" i="47"/>
  <c r="AZ6" i="47"/>
  <c r="BD47" i="47"/>
  <c r="BD46" i="47"/>
  <c r="BD45" i="47"/>
  <c r="BD44" i="47"/>
  <c r="BD43" i="47"/>
  <c r="BD42" i="47"/>
  <c r="BD40" i="47"/>
  <c r="BD39" i="47"/>
  <c r="BD38" i="47"/>
  <c r="BD37" i="47"/>
  <c r="BD36" i="47"/>
  <c r="BD35" i="47"/>
  <c r="BD34" i="47"/>
  <c r="BD33" i="47"/>
  <c r="BD32" i="47"/>
  <c r="BD31" i="47"/>
  <c r="BD30" i="47"/>
  <c r="BD29" i="47"/>
  <c r="BD28" i="47"/>
  <c r="BD27" i="47"/>
  <c r="BD26" i="47"/>
  <c r="BD25" i="47"/>
  <c r="BD24" i="47"/>
  <c r="BD23" i="47"/>
  <c r="BD22" i="47"/>
  <c r="BD21" i="47"/>
  <c r="BD20" i="47"/>
  <c r="BD19" i="47"/>
  <c r="BD18" i="47"/>
  <c r="BD17" i="47"/>
  <c r="BD16" i="47"/>
  <c r="BD15" i="47"/>
  <c r="BD14" i="47"/>
  <c r="BD13" i="47"/>
  <c r="BD12" i="47"/>
  <c r="BD11" i="47"/>
  <c r="BD10" i="47"/>
  <c r="BD9" i="47"/>
  <c r="BD8" i="47"/>
  <c r="BD7" i="47"/>
  <c r="BD6" i="47"/>
  <c r="AD6" i="48" l="1"/>
  <c r="AD51" i="48" s="1"/>
  <c r="V6" i="48"/>
  <c r="V49" i="48" s="1"/>
  <c r="T6" i="48"/>
  <c r="T52" i="48" s="1"/>
  <c r="AB6" i="48"/>
  <c r="AB51" i="48" s="1"/>
  <c r="AJ6" i="48"/>
  <c r="AJ26" i="48" s="1"/>
  <c r="X6" i="48"/>
  <c r="X49" i="48" s="1"/>
  <c r="AF6" i="48"/>
  <c r="AF51" i="48" s="1"/>
  <c r="AM5" i="48"/>
  <c r="Z6" i="48"/>
  <c r="Z51" i="48" s="1"/>
  <c r="AH6" i="48"/>
  <c r="AH49" i="48" s="1"/>
  <c r="T26" i="48"/>
  <c r="AP6" i="48"/>
  <c r="AT6" i="48"/>
  <c r="AX6" i="48"/>
  <c r="BB6" i="48"/>
  <c r="S5" i="48"/>
  <c r="S4" i="48"/>
  <c r="U6" i="48"/>
  <c r="Y6" i="48"/>
  <c r="AC6" i="48"/>
  <c r="AG6" i="48"/>
  <c r="AK6" i="48"/>
  <c r="AQ6" i="48"/>
  <c r="AU6" i="48"/>
  <c r="AY6" i="48"/>
  <c r="BC6" i="48"/>
  <c r="V51" i="48"/>
  <c r="V10" i="48"/>
  <c r="V11" i="48"/>
  <c r="V14" i="48"/>
  <c r="V20" i="48"/>
  <c r="V21" i="48"/>
  <c r="V25" i="48"/>
  <c r="V33" i="48"/>
  <c r="V37" i="48"/>
  <c r="V39" i="48"/>
  <c r="V43" i="48"/>
  <c r="V44" i="48"/>
  <c r="AD26" i="48"/>
  <c r="AD49" i="48"/>
  <c r="AD52" i="48"/>
  <c r="AD54" i="48"/>
  <c r="AD55" i="48"/>
  <c r="AD10" i="48"/>
  <c r="AD11" i="48"/>
  <c r="AD48" i="48"/>
  <c r="AD13" i="48"/>
  <c r="AD14" i="48"/>
  <c r="AD15" i="48"/>
  <c r="AD17" i="48"/>
  <c r="AD18" i="48"/>
  <c r="AD19" i="48"/>
  <c r="AD21" i="48"/>
  <c r="AD22" i="48"/>
  <c r="AD23" i="48"/>
  <c r="AD25" i="48"/>
  <c r="AD33" i="48"/>
  <c r="AD34" i="48"/>
  <c r="AD36" i="48"/>
  <c r="AD37" i="48"/>
  <c r="AD38" i="48"/>
  <c r="AD40" i="48"/>
  <c r="AD41" i="48"/>
  <c r="AD42" i="48"/>
  <c r="AD44" i="48"/>
  <c r="AD45" i="48"/>
  <c r="AD46" i="48"/>
  <c r="AM4" i="48"/>
  <c r="AN6" i="48"/>
  <c r="AR6" i="48"/>
  <c r="AV6" i="48"/>
  <c r="AZ6" i="48"/>
  <c r="BD6" i="48"/>
  <c r="W6" i="48"/>
  <c r="AA6" i="48"/>
  <c r="AE6" i="48"/>
  <c r="AI6" i="48"/>
  <c r="AO6" i="48"/>
  <c r="AS6" i="48"/>
  <c r="AW6" i="48"/>
  <c r="BA6" i="48"/>
  <c r="BE6" i="48"/>
  <c r="AL8" i="47"/>
  <c r="G8" i="47" s="1"/>
  <c r="AL10" i="47"/>
  <c r="G10" i="47" s="1"/>
  <c r="AL12" i="47"/>
  <c r="G12" i="47" s="1"/>
  <c r="AL14" i="47"/>
  <c r="G14" i="47" s="1"/>
  <c r="AL16" i="47"/>
  <c r="G16" i="47" s="1"/>
  <c r="AL18" i="47"/>
  <c r="G18" i="47" s="1"/>
  <c r="AL20" i="47"/>
  <c r="G20" i="47" s="1"/>
  <c r="AL22" i="47"/>
  <c r="G22" i="47" s="1"/>
  <c r="AL28" i="47"/>
  <c r="G28" i="47" s="1"/>
  <c r="AL30" i="47"/>
  <c r="G30" i="47" s="1"/>
  <c r="AL24" i="47"/>
  <c r="G24" i="47" s="1"/>
  <c r="AL26" i="47"/>
  <c r="G26" i="47" s="1"/>
  <c r="G32" i="19" s="1"/>
  <c r="AL32" i="47"/>
  <c r="G32" i="47" s="1"/>
  <c r="AL34" i="47"/>
  <c r="G34" i="47" s="1"/>
  <c r="AL36" i="47"/>
  <c r="G36" i="47" s="1"/>
  <c r="AL38" i="47"/>
  <c r="G38" i="47" s="1"/>
  <c r="AL40" i="47"/>
  <c r="G40" i="47" s="1"/>
  <c r="AL43" i="47"/>
  <c r="G43" i="47" s="1"/>
  <c r="AL45" i="47"/>
  <c r="G45" i="47" s="1"/>
  <c r="AL47" i="47"/>
  <c r="G47" i="47" s="1"/>
  <c r="R6" i="47"/>
  <c r="F6" i="47" s="1"/>
  <c r="R8" i="47"/>
  <c r="F8" i="47" s="1"/>
  <c r="R10" i="47"/>
  <c r="F10" i="47" s="1"/>
  <c r="R12" i="47"/>
  <c r="F12" i="47" s="1"/>
  <c r="R14" i="47"/>
  <c r="F14" i="47" s="1"/>
  <c r="R16" i="47"/>
  <c r="F16" i="47" s="1"/>
  <c r="R18" i="47"/>
  <c r="F18" i="47" s="1"/>
  <c r="R20" i="47"/>
  <c r="F20" i="47" s="1"/>
  <c r="R22" i="47"/>
  <c r="F22" i="47" s="1"/>
  <c r="R24" i="47"/>
  <c r="F24" i="47" s="1"/>
  <c r="R26" i="47"/>
  <c r="F26" i="47" s="1"/>
  <c r="F32" i="19" s="1"/>
  <c r="R28" i="47"/>
  <c r="F28" i="47" s="1"/>
  <c r="R30" i="47"/>
  <c r="F30" i="47" s="1"/>
  <c r="R32" i="47"/>
  <c r="F32" i="47" s="1"/>
  <c r="R34" i="47"/>
  <c r="F34" i="47" s="1"/>
  <c r="R36" i="47"/>
  <c r="F36" i="47" s="1"/>
  <c r="R38" i="47"/>
  <c r="F38" i="47" s="1"/>
  <c r="R40" i="47"/>
  <c r="F40" i="47" s="1"/>
  <c r="R43" i="47"/>
  <c r="F43" i="47" s="1"/>
  <c r="R45" i="47"/>
  <c r="F45" i="47" s="1"/>
  <c r="R47" i="47"/>
  <c r="F47" i="47" s="1"/>
  <c r="AL6" i="47"/>
  <c r="G6" i="47" s="1"/>
  <c r="AL7" i="47"/>
  <c r="G7" i="47" s="1"/>
  <c r="AL9" i="47"/>
  <c r="G9" i="47" s="1"/>
  <c r="AL11" i="47"/>
  <c r="G11" i="47" s="1"/>
  <c r="AL13" i="47"/>
  <c r="G13" i="47" s="1"/>
  <c r="AL15" i="47"/>
  <c r="G15" i="47" s="1"/>
  <c r="AL17" i="47"/>
  <c r="G17" i="47" s="1"/>
  <c r="AL19" i="47"/>
  <c r="G19" i="47" s="1"/>
  <c r="AL21" i="47"/>
  <c r="G21" i="47" s="1"/>
  <c r="AL27" i="47"/>
  <c r="G27" i="47" s="1"/>
  <c r="AL29" i="47"/>
  <c r="G29" i="47" s="1"/>
  <c r="AL23" i="47"/>
  <c r="G23" i="47" s="1"/>
  <c r="AL25" i="47"/>
  <c r="G25" i="47" s="1"/>
  <c r="G31" i="19" s="1"/>
  <c r="AL31" i="47"/>
  <c r="G31" i="47" s="1"/>
  <c r="AL33" i="47"/>
  <c r="G33" i="47" s="1"/>
  <c r="AL35" i="47"/>
  <c r="G35" i="47" s="1"/>
  <c r="AL37" i="47"/>
  <c r="G37" i="47" s="1"/>
  <c r="AL39" i="47"/>
  <c r="G39" i="47" s="1"/>
  <c r="AL42" i="47"/>
  <c r="G42" i="47" s="1"/>
  <c r="AL44" i="47"/>
  <c r="G44" i="47" s="1"/>
  <c r="AL46" i="47"/>
  <c r="G46" i="47" s="1"/>
  <c r="R7" i="47"/>
  <c r="F7" i="47" s="1"/>
  <c r="R9" i="47"/>
  <c r="F9" i="47" s="1"/>
  <c r="R11" i="47"/>
  <c r="F11" i="47" s="1"/>
  <c r="R13" i="47"/>
  <c r="F13" i="47" s="1"/>
  <c r="R15" i="47"/>
  <c r="F15" i="47" s="1"/>
  <c r="R17" i="47"/>
  <c r="F17" i="47" s="1"/>
  <c r="R19" i="47"/>
  <c r="F19" i="47" s="1"/>
  <c r="R21" i="47"/>
  <c r="F21" i="47" s="1"/>
  <c r="R23" i="47"/>
  <c r="F23" i="47" s="1"/>
  <c r="R25" i="47"/>
  <c r="F25" i="47" s="1"/>
  <c r="F31" i="19" s="1"/>
  <c r="R27" i="47"/>
  <c r="F27" i="47" s="1"/>
  <c r="R29" i="47"/>
  <c r="F29" i="47" s="1"/>
  <c r="R31" i="47"/>
  <c r="F31" i="47" s="1"/>
  <c r="R33" i="47"/>
  <c r="F33" i="47" s="1"/>
  <c r="R35" i="47"/>
  <c r="F35" i="47" s="1"/>
  <c r="R37" i="47"/>
  <c r="F37" i="47" s="1"/>
  <c r="R39" i="47"/>
  <c r="F39" i="47" s="1"/>
  <c r="R42" i="47"/>
  <c r="F42" i="47" s="1"/>
  <c r="R44" i="47"/>
  <c r="F44" i="47" s="1"/>
  <c r="R46" i="47"/>
  <c r="F46" i="47" s="1"/>
  <c r="S20" i="40"/>
  <c r="S21" i="40"/>
  <c r="B2" i="35"/>
  <c r="B2" i="34"/>
  <c r="B3" i="46"/>
  <c r="B3" i="45"/>
  <c r="B2" i="14"/>
  <c r="B2" i="12"/>
  <c r="B2" i="37"/>
  <c r="B2" i="36"/>
  <c r="B3" i="44"/>
  <c r="B3" i="43"/>
  <c r="B2" i="11"/>
  <c r="V16" i="48" l="1"/>
  <c r="V52" i="48"/>
  <c r="T17" i="48"/>
  <c r="AF34" i="48"/>
  <c r="AF49" i="48"/>
  <c r="T40" i="48"/>
  <c r="AF42" i="48"/>
  <c r="T25" i="48"/>
  <c r="AF48" i="48"/>
  <c r="AF19" i="48"/>
  <c r="AF25" i="48"/>
  <c r="AF17" i="48"/>
  <c r="T46" i="48"/>
  <c r="T23" i="48"/>
  <c r="T14" i="48"/>
  <c r="V45" i="48"/>
  <c r="V40" i="48"/>
  <c r="V35" i="48"/>
  <c r="V22" i="48"/>
  <c r="V17" i="48"/>
  <c r="V48" i="48"/>
  <c r="V54" i="48"/>
  <c r="AF44" i="48"/>
  <c r="AF36" i="48"/>
  <c r="AF21" i="48"/>
  <c r="AF13" i="48"/>
  <c r="AF52" i="48"/>
  <c r="T42" i="48"/>
  <c r="T34" i="48"/>
  <c r="T19" i="48"/>
  <c r="T55" i="48"/>
  <c r="AF40" i="48"/>
  <c r="AF10" i="48"/>
  <c r="T38" i="48"/>
  <c r="V8" i="48"/>
  <c r="V41" i="48"/>
  <c r="V36" i="48"/>
  <c r="V24" i="48"/>
  <c r="V18" i="48"/>
  <c r="V13" i="48"/>
  <c r="V9" i="48"/>
  <c r="V26" i="48"/>
  <c r="AF46" i="48"/>
  <c r="AF38" i="48"/>
  <c r="AF23" i="48"/>
  <c r="AF15" i="48"/>
  <c r="AF55" i="48"/>
  <c r="T44" i="48"/>
  <c r="T36" i="48"/>
  <c r="T21" i="48"/>
  <c r="T12" i="48"/>
  <c r="AD8" i="48"/>
  <c r="AD43" i="48"/>
  <c r="AD39" i="48"/>
  <c r="AD35" i="48"/>
  <c r="AD24" i="48"/>
  <c r="AD20" i="48"/>
  <c r="AD16" i="48"/>
  <c r="AD12" i="48"/>
  <c r="AD9" i="48"/>
  <c r="V46" i="48"/>
  <c r="V42" i="48"/>
  <c r="V38" i="48"/>
  <c r="V34" i="48"/>
  <c r="V23" i="48"/>
  <c r="V19" i="48"/>
  <c r="V15" i="48"/>
  <c r="V12" i="48"/>
  <c r="V55" i="48"/>
  <c r="AB22" i="48"/>
  <c r="AF45" i="48"/>
  <c r="AF41" i="48"/>
  <c r="AF37" i="48"/>
  <c r="AF33" i="48"/>
  <c r="AF22" i="48"/>
  <c r="AF18" i="48"/>
  <c r="AF14" i="48"/>
  <c r="AF11" i="48"/>
  <c r="AF54" i="48"/>
  <c r="AF26" i="48"/>
  <c r="T45" i="48"/>
  <c r="T41" i="48"/>
  <c r="T37" i="48"/>
  <c r="T33" i="48"/>
  <c r="T22" i="48"/>
  <c r="T18" i="48"/>
  <c r="T13" i="48"/>
  <c r="T54" i="48"/>
  <c r="AF8" i="48"/>
  <c r="AF43" i="48"/>
  <c r="AF39" i="48"/>
  <c r="AF35" i="48"/>
  <c r="AF24" i="48"/>
  <c r="AF20" i="48"/>
  <c r="AF16" i="48"/>
  <c r="AF12" i="48"/>
  <c r="AF9" i="48"/>
  <c r="T8" i="48"/>
  <c r="T43" i="48"/>
  <c r="T39" i="48"/>
  <c r="T35" i="48"/>
  <c r="T24" i="48"/>
  <c r="T20" i="48"/>
  <c r="T15" i="48"/>
  <c r="T10" i="48"/>
  <c r="AB13" i="48"/>
  <c r="AB36" i="48"/>
  <c r="AB45" i="48"/>
  <c r="AB54" i="48"/>
  <c r="AB37" i="48"/>
  <c r="AB14" i="48"/>
  <c r="AB44" i="48"/>
  <c r="AB21" i="48"/>
  <c r="AB52" i="48"/>
  <c r="AB40" i="48"/>
  <c r="AB25" i="48"/>
  <c r="AB17" i="48"/>
  <c r="AB10" i="48"/>
  <c r="AB41" i="48"/>
  <c r="AB33" i="48"/>
  <c r="AB18" i="48"/>
  <c r="AB11" i="48"/>
  <c r="AB26" i="48"/>
  <c r="AH33" i="48"/>
  <c r="T11" i="48"/>
  <c r="T51" i="48"/>
  <c r="AJ12" i="48"/>
  <c r="X18" i="48"/>
  <c r="X26" i="48"/>
  <c r="T16" i="48"/>
  <c r="T48" i="48"/>
  <c r="T9" i="48"/>
  <c r="T49" i="48"/>
  <c r="AH11" i="48"/>
  <c r="AJ35" i="48"/>
  <c r="X41" i="48"/>
  <c r="AJ25" i="48"/>
  <c r="AJ40" i="48"/>
  <c r="AJ17" i="48"/>
  <c r="AB46" i="48"/>
  <c r="AB42" i="48"/>
  <c r="AB38" i="48"/>
  <c r="AB34" i="48"/>
  <c r="AB23" i="48"/>
  <c r="AB19" i="48"/>
  <c r="AB15" i="48"/>
  <c r="AB12" i="48"/>
  <c r="AB55" i="48"/>
  <c r="AB49" i="48"/>
  <c r="AJ10" i="48"/>
  <c r="AJ43" i="48"/>
  <c r="AJ20" i="48"/>
  <c r="AJ51" i="48"/>
  <c r="AB8" i="48"/>
  <c r="AB43" i="48"/>
  <c r="AB39" i="48"/>
  <c r="AB35" i="48"/>
  <c r="AB24" i="48"/>
  <c r="AB20" i="48"/>
  <c r="AB16" i="48"/>
  <c r="AB48" i="48"/>
  <c r="AB9" i="48"/>
  <c r="AH45" i="48"/>
  <c r="AH54" i="48"/>
  <c r="X37" i="48"/>
  <c r="AH41" i="48"/>
  <c r="AH18" i="48"/>
  <c r="AH26" i="48"/>
  <c r="Z46" i="48"/>
  <c r="AJ8" i="48"/>
  <c r="AJ39" i="48"/>
  <c r="AJ24" i="48"/>
  <c r="AJ16" i="48"/>
  <c r="AJ9" i="48"/>
  <c r="X33" i="48"/>
  <c r="X11" i="48"/>
  <c r="AH22" i="48"/>
  <c r="X14" i="48"/>
  <c r="AH37" i="48"/>
  <c r="AH14" i="48"/>
  <c r="Z23" i="48"/>
  <c r="AJ44" i="48"/>
  <c r="AJ36" i="48"/>
  <c r="AJ21" i="48"/>
  <c r="AJ13" i="48"/>
  <c r="AJ52" i="48"/>
  <c r="X45" i="48"/>
  <c r="X22" i="48"/>
  <c r="X54" i="48"/>
  <c r="AH40" i="48"/>
  <c r="AH25" i="48"/>
  <c r="AH17" i="48"/>
  <c r="AH13" i="48"/>
  <c r="AH52" i="48"/>
  <c r="X44" i="48"/>
  <c r="X36" i="48"/>
  <c r="X21" i="48"/>
  <c r="X13" i="48"/>
  <c r="X10" i="48"/>
  <c r="AH8" i="48"/>
  <c r="AH43" i="48"/>
  <c r="AH39" i="48"/>
  <c r="AH35" i="48"/>
  <c r="AH24" i="48"/>
  <c r="AH20" i="48"/>
  <c r="AH16" i="48"/>
  <c r="AH12" i="48"/>
  <c r="AH9" i="48"/>
  <c r="AH51" i="48"/>
  <c r="Z55" i="48"/>
  <c r="AJ46" i="48"/>
  <c r="AJ42" i="48"/>
  <c r="AJ38" i="48"/>
  <c r="AJ34" i="48"/>
  <c r="AJ23" i="48"/>
  <c r="AJ19" i="48"/>
  <c r="AJ15" i="48"/>
  <c r="AJ48" i="48"/>
  <c r="AJ55" i="48"/>
  <c r="AJ49" i="48"/>
  <c r="X8" i="48"/>
  <c r="X43" i="48"/>
  <c r="X39" i="48"/>
  <c r="X35" i="48"/>
  <c r="X24" i="48"/>
  <c r="X20" i="48"/>
  <c r="X16" i="48"/>
  <c r="X48" i="48"/>
  <c r="X9" i="48"/>
  <c r="X51" i="48"/>
  <c r="AH44" i="48"/>
  <c r="AH36" i="48"/>
  <c r="AH21" i="48"/>
  <c r="AH10" i="48"/>
  <c r="X40" i="48"/>
  <c r="X25" i="48"/>
  <c r="X17" i="48"/>
  <c r="X52" i="48"/>
  <c r="AH46" i="48"/>
  <c r="AH42" i="48"/>
  <c r="AH38" i="48"/>
  <c r="AH34" i="48"/>
  <c r="AH23" i="48"/>
  <c r="AH19" i="48"/>
  <c r="AH15" i="48"/>
  <c r="AH48" i="48"/>
  <c r="AH55" i="48"/>
  <c r="AJ45" i="48"/>
  <c r="AJ41" i="48"/>
  <c r="AJ37" i="48"/>
  <c r="AJ33" i="48"/>
  <c r="AJ22" i="48"/>
  <c r="AJ18" i="48"/>
  <c r="AJ14" i="48"/>
  <c r="AJ11" i="48"/>
  <c r="AJ54" i="48"/>
  <c r="X46" i="48"/>
  <c r="X42" i="48"/>
  <c r="X38" i="48"/>
  <c r="X34" i="48"/>
  <c r="X23" i="48"/>
  <c r="X19" i="48"/>
  <c r="X15" i="48"/>
  <c r="X12" i="48"/>
  <c r="X55" i="48"/>
  <c r="Z19" i="48"/>
  <c r="Z38" i="48"/>
  <c r="Z15" i="48"/>
  <c r="Z42" i="48"/>
  <c r="Z49" i="48"/>
  <c r="Z34" i="48"/>
  <c r="Z12" i="48"/>
  <c r="Z37" i="48"/>
  <c r="Z22" i="48"/>
  <c r="Z18" i="48"/>
  <c r="Z11" i="48"/>
  <c r="Z26" i="48"/>
  <c r="Z44" i="48"/>
  <c r="Z40" i="48"/>
  <c r="Z36" i="48"/>
  <c r="Z25" i="48"/>
  <c r="Z21" i="48"/>
  <c r="Z17" i="48"/>
  <c r="Z13" i="48"/>
  <c r="Z10" i="48"/>
  <c r="Z52" i="48"/>
  <c r="Z45" i="48"/>
  <c r="Z41" i="48"/>
  <c r="Z33" i="48"/>
  <c r="Z14" i="48"/>
  <c r="Z54" i="48"/>
  <c r="Z8" i="48"/>
  <c r="Z43" i="48"/>
  <c r="Z39" i="48"/>
  <c r="Z35" i="48"/>
  <c r="Z24" i="48"/>
  <c r="Z20" i="48"/>
  <c r="Z16" i="48"/>
  <c r="Z48" i="48"/>
  <c r="Z9" i="48"/>
  <c r="BA49" i="48"/>
  <c r="BA51" i="48"/>
  <c r="BA26" i="48"/>
  <c r="BA48" i="48"/>
  <c r="BA52" i="48"/>
  <c r="BA54" i="48"/>
  <c r="BA55" i="48"/>
  <c r="BA9" i="48"/>
  <c r="BA10" i="48"/>
  <c r="BA11" i="48"/>
  <c r="BA12" i="48"/>
  <c r="BA13" i="48"/>
  <c r="BA14" i="48"/>
  <c r="BA15" i="48"/>
  <c r="BA16" i="48"/>
  <c r="BA17" i="48"/>
  <c r="BA18" i="48"/>
  <c r="BA19" i="48"/>
  <c r="BA20" i="48"/>
  <c r="BA21" i="48"/>
  <c r="BA22" i="48"/>
  <c r="BA23" i="48"/>
  <c r="BA24" i="48"/>
  <c r="BA25" i="48"/>
  <c r="BA33" i="48"/>
  <c r="BA34" i="48"/>
  <c r="BA35" i="48"/>
  <c r="BA36" i="48"/>
  <c r="BA37" i="48"/>
  <c r="BA38" i="48"/>
  <c r="BA39" i="48"/>
  <c r="BA8" i="48"/>
  <c r="BA40" i="48"/>
  <c r="BA41" i="48"/>
  <c r="BA42" i="48"/>
  <c r="BA43" i="48"/>
  <c r="BA44" i="48"/>
  <c r="BA45" i="48"/>
  <c r="BA46" i="48"/>
  <c r="AS49" i="48"/>
  <c r="AS51" i="48"/>
  <c r="AS26" i="48"/>
  <c r="AS48" i="48"/>
  <c r="AS52" i="48"/>
  <c r="AS54" i="48"/>
  <c r="AS55" i="48"/>
  <c r="AS9" i="48"/>
  <c r="AS10" i="48"/>
  <c r="AS11" i="48"/>
  <c r="AS12" i="48"/>
  <c r="AS13" i="48"/>
  <c r="AS14" i="48"/>
  <c r="AS15" i="48"/>
  <c r="AS16" i="48"/>
  <c r="AS17" i="48"/>
  <c r="AS18" i="48"/>
  <c r="AS19" i="48"/>
  <c r="AS20" i="48"/>
  <c r="AS21" i="48"/>
  <c r="AS22" i="48"/>
  <c r="AS23" i="48"/>
  <c r="AS24" i="48"/>
  <c r="AS25" i="48"/>
  <c r="AS33" i="48"/>
  <c r="AS34" i="48"/>
  <c r="AS35" i="48"/>
  <c r="AS36" i="48"/>
  <c r="AS37" i="48"/>
  <c r="AS38" i="48"/>
  <c r="AS39" i="48"/>
  <c r="AS40" i="48"/>
  <c r="AS8" i="48"/>
  <c r="AS41" i="48"/>
  <c r="AS42" i="48"/>
  <c r="AS43" i="48"/>
  <c r="AS44" i="48"/>
  <c r="AS45" i="48"/>
  <c r="AS46" i="48"/>
  <c r="AI26" i="48"/>
  <c r="AI48" i="48"/>
  <c r="AI49" i="48"/>
  <c r="AI51" i="48"/>
  <c r="AI52" i="48"/>
  <c r="AI54" i="48"/>
  <c r="AI55" i="48"/>
  <c r="AI9" i="48"/>
  <c r="AI10" i="48"/>
  <c r="AI11" i="48"/>
  <c r="AI8" i="48"/>
  <c r="AI12" i="48"/>
  <c r="AI13" i="48"/>
  <c r="AI14" i="48"/>
  <c r="AI15" i="48"/>
  <c r="AI16" i="48"/>
  <c r="AI17" i="48"/>
  <c r="AI18" i="48"/>
  <c r="AI19" i="48"/>
  <c r="AI20" i="48"/>
  <c r="AI21" i="48"/>
  <c r="AI22" i="48"/>
  <c r="AI23" i="48"/>
  <c r="AI24" i="48"/>
  <c r="AI25" i="48"/>
  <c r="AI33" i="48"/>
  <c r="AI34" i="48"/>
  <c r="AI35" i="48"/>
  <c r="AI36" i="48"/>
  <c r="AI37" i="48"/>
  <c r="AI38" i="48"/>
  <c r="AI39" i="48"/>
  <c r="AI40" i="48"/>
  <c r="AI41" i="48"/>
  <c r="AI42" i="48"/>
  <c r="AI43" i="48"/>
  <c r="AI44" i="48"/>
  <c r="AI45" i="48"/>
  <c r="AI46" i="48"/>
  <c r="AA26" i="48"/>
  <c r="AA48" i="48"/>
  <c r="AA49" i="48"/>
  <c r="AA51" i="48"/>
  <c r="AA52" i="48"/>
  <c r="AA54" i="48"/>
  <c r="AA55" i="48"/>
  <c r="AA9" i="48"/>
  <c r="AA10" i="48"/>
  <c r="AA11" i="48"/>
  <c r="AA12" i="48"/>
  <c r="AA8" i="48"/>
  <c r="AA13" i="48"/>
  <c r="AA14" i="48"/>
  <c r="AA15" i="48"/>
  <c r="AA16" i="48"/>
  <c r="AA17" i="48"/>
  <c r="AA18" i="48"/>
  <c r="AA19" i="48"/>
  <c r="AA20" i="48"/>
  <c r="AA21" i="48"/>
  <c r="AA22" i="48"/>
  <c r="AA23" i="48"/>
  <c r="AA24" i="48"/>
  <c r="AA25" i="48"/>
  <c r="AA33" i="48"/>
  <c r="AA34" i="48"/>
  <c r="AA35" i="48"/>
  <c r="AA36" i="48"/>
  <c r="AA37" i="48"/>
  <c r="AA38" i="48"/>
  <c r="AA39" i="48"/>
  <c r="AA40" i="48"/>
  <c r="AA41" i="48"/>
  <c r="AA42" i="48"/>
  <c r="AA43" i="48"/>
  <c r="AA44" i="48"/>
  <c r="AA45" i="48"/>
  <c r="AA46" i="48"/>
  <c r="BD26" i="48"/>
  <c r="BD49" i="48"/>
  <c r="BD51" i="48"/>
  <c r="BD52" i="48"/>
  <c r="BD54" i="48"/>
  <c r="BD55" i="48"/>
  <c r="BD9" i="48"/>
  <c r="BD10" i="48"/>
  <c r="BD11" i="48"/>
  <c r="BD12" i="48"/>
  <c r="BD13" i="48"/>
  <c r="BD48" i="48"/>
  <c r="BD14" i="48"/>
  <c r="BD15" i="48"/>
  <c r="BD16" i="48"/>
  <c r="BD17" i="48"/>
  <c r="BD18" i="48"/>
  <c r="BD19" i="48"/>
  <c r="BD20" i="48"/>
  <c r="BD21" i="48"/>
  <c r="BD22" i="48"/>
  <c r="BD23" i="48"/>
  <c r="BD24" i="48"/>
  <c r="BD25" i="48"/>
  <c r="BD33" i="48"/>
  <c r="BD34" i="48"/>
  <c r="BD35" i="48"/>
  <c r="BD36" i="48"/>
  <c r="BD37" i="48"/>
  <c r="BD38" i="48"/>
  <c r="BD39" i="48"/>
  <c r="BD40" i="48"/>
  <c r="BD41" i="48"/>
  <c r="BD42" i="48"/>
  <c r="BD43" i="48"/>
  <c r="BD44" i="48"/>
  <c r="BD45" i="48"/>
  <c r="BD46" i="48"/>
  <c r="BD8" i="48"/>
  <c r="AV26" i="48"/>
  <c r="AV49" i="48"/>
  <c r="AV51" i="48"/>
  <c r="AV52" i="48"/>
  <c r="AV54" i="48"/>
  <c r="AV55" i="48"/>
  <c r="AV9" i="48"/>
  <c r="AV10" i="48"/>
  <c r="AV11" i="48"/>
  <c r="AV12" i="48"/>
  <c r="AV13" i="48"/>
  <c r="AV14" i="48"/>
  <c r="AV48" i="48"/>
  <c r="AV15" i="48"/>
  <c r="AV16" i="48"/>
  <c r="AV17" i="48"/>
  <c r="AV18" i="48"/>
  <c r="AV19" i="48"/>
  <c r="AV20" i="48"/>
  <c r="AV21" i="48"/>
  <c r="AV22" i="48"/>
  <c r="AV23" i="48"/>
  <c r="AV24" i="48"/>
  <c r="AV25" i="48"/>
  <c r="AV33" i="48"/>
  <c r="AV34" i="48"/>
  <c r="AV35" i="48"/>
  <c r="AV36" i="48"/>
  <c r="AV37" i="48"/>
  <c r="AV38" i="48"/>
  <c r="AV39" i="48"/>
  <c r="AV40" i="48"/>
  <c r="AV41" i="48"/>
  <c r="AV42" i="48"/>
  <c r="AV43" i="48"/>
  <c r="AV44" i="48"/>
  <c r="AV45" i="48"/>
  <c r="AV46" i="48"/>
  <c r="AV8" i="48"/>
  <c r="AN26" i="48"/>
  <c r="AN49" i="48"/>
  <c r="AN51" i="48"/>
  <c r="AN54" i="48"/>
  <c r="AN55" i="48"/>
  <c r="AN9" i="48"/>
  <c r="AN10" i="48"/>
  <c r="AN11" i="48"/>
  <c r="AN12" i="48"/>
  <c r="AN13" i="48"/>
  <c r="AN14" i="48"/>
  <c r="AN52" i="48"/>
  <c r="AN48" i="48"/>
  <c r="AN16" i="48"/>
  <c r="AN17" i="48"/>
  <c r="AN18" i="48"/>
  <c r="AN19" i="48"/>
  <c r="AN20" i="48"/>
  <c r="AN21" i="48"/>
  <c r="AN22" i="48"/>
  <c r="AN23" i="48"/>
  <c r="AN24" i="48"/>
  <c r="AN25" i="48"/>
  <c r="AN33" i="48"/>
  <c r="AN34" i="48"/>
  <c r="AN35" i="48"/>
  <c r="AN36" i="48"/>
  <c r="AN37" i="48"/>
  <c r="AN38" i="48"/>
  <c r="AN39" i="48"/>
  <c r="AN40" i="48"/>
  <c r="AN15" i="48"/>
  <c r="AN41" i="48"/>
  <c r="AN42" i="48"/>
  <c r="AN43" i="48"/>
  <c r="AN44" i="48"/>
  <c r="AN45" i="48"/>
  <c r="AN46" i="48"/>
  <c r="AN8" i="48"/>
  <c r="AM6" i="48"/>
  <c r="BC49" i="48"/>
  <c r="BC51" i="48"/>
  <c r="BC26" i="48"/>
  <c r="BC48" i="48"/>
  <c r="BC52" i="48"/>
  <c r="BC54" i="48"/>
  <c r="BC55" i="48"/>
  <c r="BC9" i="48"/>
  <c r="BC10" i="48"/>
  <c r="BC11" i="48"/>
  <c r="BC12" i="48"/>
  <c r="BC13" i="48"/>
  <c r="BC14" i="48"/>
  <c r="BC15" i="48"/>
  <c r="BC16" i="48"/>
  <c r="BC17" i="48"/>
  <c r="BC18" i="48"/>
  <c r="BC19" i="48"/>
  <c r="BC20" i="48"/>
  <c r="BC21" i="48"/>
  <c r="BC22" i="48"/>
  <c r="BC23" i="48"/>
  <c r="BC24" i="48"/>
  <c r="BC25" i="48"/>
  <c r="BC33" i="48"/>
  <c r="BC34" i="48"/>
  <c r="BC35" i="48"/>
  <c r="BC36" i="48"/>
  <c r="BC37" i="48"/>
  <c r="BC38" i="48"/>
  <c r="BC39" i="48"/>
  <c r="BC8" i="48"/>
  <c r="BC40" i="48"/>
  <c r="BC41" i="48"/>
  <c r="BC42" i="48"/>
  <c r="BC43" i="48"/>
  <c r="BC44" i="48"/>
  <c r="BC45" i="48"/>
  <c r="BC46" i="48"/>
  <c r="AU49" i="48"/>
  <c r="AU51" i="48"/>
  <c r="AU26" i="48"/>
  <c r="AU48" i="48"/>
  <c r="AU52" i="48"/>
  <c r="AU54" i="48"/>
  <c r="AU55" i="48"/>
  <c r="AU9" i="48"/>
  <c r="AU10" i="48"/>
  <c r="AU11" i="48"/>
  <c r="AU12" i="48"/>
  <c r="AU13" i="48"/>
  <c r="AU14" i="48"/>
  <c r="AU15" i="48"/>
  <c r="AU16" i="48"/>
  <c r="AU17" i="48"/>
  <c r="AU18" i="48"/>
  <c r="AU19" i="48"/>
  <c r="AU20" i="48"/>
  <c r="AU21" i="48"/>
  <c r="AU22" i="48"/>
  <c r="AU23" i="48"/>
  <c r="AU24" i="48"/>
  <c r="AU25" i="48"/>
  <c r="AU33" i="48"/>
  <c r="AU34" i="48"/>
  <c r="AU35" i="48"/>
  <c r="AU36" i="48"/>
  <c r="AU37" i="48"/>
  <c r="AU38" i="48"/>
  <c r="AU39" i="48"/>
  <c r="AU40" i="48"/>
  <c r="AU8" i="48"/>
  <c r="AU41" i="48"/>
  <c r="AU42" i="48"/>
  <c r="AU43" i="48"/>
  <c r="AU44" i="48"/>
  <c r="AU45" i="48"/>
  <c r="AU46" i="48"/>
  <c r="AK26" i="48"/>
  <c r="AK48" i="48"/>
  <c r="AK49" i="48"/>
  <c r="AK51" i="48"/>
  <c r="AK52" i="48"/>
  <c r="AK54" i="48"/>
  <c r="AK55" i="48"/>
  <c r="AK9" i="48"/>
  <c r="AK10" i="48"/>
  <c r="AK11" i="48"/>
  <c r="AK8" i="48"/>
  <c r="AK12" i="48"/>
  <c r="AK13" i="48"/>
  <c r="AK14" i="48"/>
  <c r="AK15" i="48"/>
  <c r="AK16" i="48"/>
  <c r="AK17" i="48"/>
  <c r="AK18" i="48"/>
  <c r="AK19" i="48"/>
  <c r="AK20" i="48"/>
  <c r="AK21" i="48"/>
  <c r="AK22" i="48"/>
  <c r="AK23" i="48"/>
  <c r="AK24" i="48"/>
  <c r="AK25" i="48"/>
  <c r="AK33" i="48"/>
  <c r="AK34" i="48"/>
  <c r="AK35" i="48"/>
  <c r="AK36" i="48"/>
  <c r="AK37" i="48"/>
  <c r="AK38" i="48"/>
  <c r="AK39" i="48"/>
  <c r="AK40" i="48"/>
  <c r="AK41" i="48"/>
  <c r="AK42" i="48"/>
  <c r="AK43" i="48"/>
  <c r="AK44" i="48"/>
  <c r="AK45" i="48"/>
  <c r="AK46" i="48"/>
  <c r="AC26" i="48"/>
  <c r="AC48" i="48"/>
  <c r="AC49" i="48"/>
  <c r="AC51" i="48"/>
  <c r="AC52" i="48"/>
  <c r="AC54" i="48"/>
  <c r="AC55" i="48"/>
  <c r="AC9" i="48"/>
  <c r="AC10" i="48"/>
  <c r="AC11" i="48"/>
  <c r="AC8" i="48"/>
  <c r="AC12" i="48"/>
  <c r="AC13" i="48"/>
  <c r="AC14" i="48"/>
  <c r="AC15" i="48"/>
  <c r="AC16" i="48"/>
  <c r="AC17" i="48"/>
  <c r="AC18" i="48"/>
  <c r="AC19" i="48"/>
  <c r="AC20" i="48"/>
  <c r="AC21" i="48"/>
  <c r="AC22" i="48"/>
  <c r="AC23" i="48"/>
  <c r="AC24" i="48"/>
  <c r="AC25" i="48"/>
  <c r="AC33" i="48"/>
  <c r="AC34" i="48"/>
  <c r="AC35" i="48"/>
  <c r="AC36" i="48"/>
  <c r="AC37" i="48"/>
  <c r="AC38" i="48"/>
  <c r="AC39" i="48"/>
  <c r="AC40" i="48"/>
  <c r="AC41" i="48"/>
  <c r="AC42" i="48"/>
  <c r="AC43" i="48"/>
  <c r="AC44" i="48"/>
  <c r="AC45" i="48"/>
  <c r="AC46" i="48"/>
  <c r="U26" i="48"/>
  <c r="U48" i="48"/>
  <c r="U49" i="48"/>
  <c r="U51" i="48"/>
  <c r="U52" i="48"/>
  <c r="U54" i="48"/>
  <c r="U55" i="48"/>
  <c r="U9" i="48"/>
  <c r="U10" i="48"/>
  <c r="U11" i="48"/>
  <c r="U12" i="48"/>
  <c r="U8" i="48"/>
  <c r="U13" i="48"/>
  <c r="U14" i="48"/>
  <c r="U15" i="48"/>
  <c r="U16" i="48"/>
  <c r="U17" i="48"/>
  <c r="U18" i="48"/>
  <c r="U19" i="48"/>
  <c r="U20" i="48"/>
  <c r="U21" i="48"/>
  <c r="U22" i="48"/>
  <c r="U23" i="48"/>
  <c r="U24" i="48"/>
  <c r="U25" i="48"/>
  <c r="U33" i="48"/>
  <c r="U34" i="48"/>
  <c r="U35" i="48"/>
  <c r="U36" i="48"/>
  <c r="U37" i="48"/>
  <c r="U38" i="48"/>
  <c r="U39" i="48"/>
  <c r="U40" i="48"/>
  <c r="U41" i="48"/>
  <c r="U42" i="48"/>
  <c r="U43" i="48"/>
  <c r="U44" i="48"/>
  <c r="U45" i="48"/>
  <c r="U46" i="48"/>
  <c r="S6" i="48"/>
  <c r="AX26" i="48"/>
  <c r="AX49" i="48"/>
  <c r="AX51" i="48"/>
  <c r="AX52" i="48"/>
  <c r="AX54" i="48"/>
  <c r="AX55" i="48"/>
  <c r="AX9" i="48"/>
  <c r="AX10" i="48"/>
  <c r="AX11" i="48"/>
  <c r="AX12" i="48"/>
  <c r="AX13" i="48"/>
  <c r="AX48" i="48"/>
  <c r="AX15" i="48"/>
  <c r="AX16" i="48"/>
  <c r="AX17" i="48"/>
  <c r="AX18" i="48"/>
  <c r="AX19" i="48"/>
  <c r="AX20" i="48"/>
  <c r="AX21" i="48"/>
  <c r="AX22" i="48"/>
  <c r="AX23" i="48"/>
  <c r="AX24" i="48"/>
  <c r="AX25" i="48"/>
  <c r="AX33" i="48"/>
  <c r="AX34" i="48"/>
  <c r="AX35" i="48"/>
  <c r="AX36" i="48"/>
  <c r="AX37" i="48"/>
  <c r="AX38" i="48"/>
  <c r="AX39" i="48"/>
  <c r="AX40" i="48"/>
  <c r="AX14" i="48"/>
  <c r="AX41" i="48"/>
  <c r="AX42" i="48"/>
  <c r="AX43" i="48"/>
  <c r="AX44" i="48"/>
  <c r="AX45" i="48"/>
  <c r="AX46" i="48"/>
  <c r="AX8" i="48"/>
  <c r="AP26" i="48"/>
  <c r="AP49" i="48"/>
  <c r="AP51" i="48"/>
  <c r="AP52" i="48"/>
  <c r="AP54" i="48"/>
  <c r="AP55" i="48"/>
  <c r="AP9" i="48"/>
  <c r="AP10" i="48"/>
  <c r="AP11" i="48"/>
  <c r="AP12" i="48"/>
  <c r="AP13" i="48"/>
  <c r="AP14" i="48"/>
  <c r="AP48" i="48"/>
  <c r="AP15" i="48"/>
  <c r="AP16" i="48"/>
  <c r="AP17" i="48"/>
  <c r="AP18" i="48"/>
  <c r="AP19" i="48"/>
  <c r="AP20" i="48"/>
  <c r="AP21" i="48"/>
  <c r="AP22" i="48"/>
  <c r="AP23" i="48"/>
  <c r="AP24" i="48"/>
  <c r="AP25" i="48"/>
  <c r="AP33" i="48"/>
  <c r="AP34" i="48"/>
  <c r="AP35" i="48"/>
  <c r="AP36" i="48"/>
  <c r="AP37" i="48"/>
  <c r="AP38" i="48"/>
  <c r="AP39" i="48"/>
  <c r="AP40" i="48"/>
  <c r="AP41" i="48"/>
  <c r="AP42" i="48"/>
  <c r="AP43" i="48"/>
  <c r="AP44" i="48"/>
  <c r="AP45" i="48"/>
  <c r="AP46" i="48"/>
  <c r="AP8" i="48"/>
  <c r="BE49" i="48"/>
  <c r="BE51" i="48"/>
  <c r="BE26" i="48"/>
  <c r="BE48" i="48"/>
  <c r="BE52" i="48"/>
  <c r="BE54" i="48"/>
  <c r="BE55" i="48"/>
  <c r="BE9" i="48"/>
  <c r="BE10" i="48"/>
  <c r="BE11" i="48"/>
  <c r="BE12" i="48"/>
  <c r="BE13" i="48"/>
  <c r="BE14" i="48"/>
  <c r="BE15" i="48"/>
  <c r="BE16" i="48"/>
  <c r="BE17" i="48"/>
  <c r="BE18" i="48"/>
  <c r="BE19" i="48"/>
  <c r="BE20" i="48"/>
  <c r="BE21" i="48"/>
  <c r="BE22" i="48"/>
  <c r="BE23" i="48"/>
  <c r="BE24" i="48"/>
  <c r="BE25" i="48"/>
  <c r="BE33" i="48"/>
  <c r="BE34" i="48"/>
  <c r="BE35" i="48"/>
  <c r="BE36" i="48"/>
  <c r="BE37" i="48"/>
  <c r="BE38" i="48"/>
  <c r="BE39" i="48"/>
  <c r="BE8" i="48"/>
  <c r="BE40" i="48"/>
  <c r="BE41" i="48"/>
  <c r="BE42" i="48"/>
  <c r="BE43" i="48"/>
  <c r="BE44" i="48"/>
  <c r="BE45" i="48"/>
  <c r="BE46" i="48"/>
  <c r="AW49" i="48"/>
  <c r="AW51" i="48"/>
  <c r="AW26" i="48"/>
  <c r="AW48" i="48"/>
  <c r="AW52" i="48"/>
  <c r="AW54" i="48"/>
  <c r="AW55" i="48"/>
  <c r="AW9" i="48"/>
  <c r="AW10" i="48"/>
  <c r="AW11" i="48"/>
  <c r="AW12" i="48"/>
  <c r="AW13" i="48"/>
  <c r="AW14" i="48"/>
  <c r="AW15" i="48"/>
  <c r="AW16" i="48"/>
  <c r="AW17" i="48"/>
  <c r="AW18" i="48"/>
  <c r="AW19" i="48"/>
  <c r="AW20" i="48"/>
  <c r="AW21" i="48"/>
  <c r="AW22" i="48"/>
  <c r="AW23" i="48"/>
  <c r="AW24" i="48"/>
  <c r="AW25" i="48"/>
  <c r="AW33" i="48"/>
  <c r="AW34" i="48"/>
  <c r="AW35" i="48"/>
  <c r="AW36" i="48"/>
  <c r="AW37" i="48"/>
  <c r="AW38" i="48"/>
  <c r="AW39" i="48"/>
  <c r="AW8" i="48"/>
  <c r="AW40" i="48"/>
  <c r="AW41" i="48"/>
  <c r="AW42" i="48"/>
  <c r="AW43" i="48"/>
  <c r="AW44" i="48"/>
  <c r="AW45" i="48"/>
  <c r="AW46" i="48"/>
  <c r="AO49" i="48"/>
  <c r="AO51" i="48"/>
  <c r="AO52" i="48"/>
  <c r="AO26" i="48"/>
  <c r="AO48" i="48"/>
  <c r="AO54" i="48"/>
  <c r="AO55" i="48"/>
  <c r="AO9" i="48"/>
  <c r="AO10" i="48"/>
  <c r="AO11" i="48"/>
  <c r="AO12" i="48"/>
  <c r="AO13" i="48"/>
  <c r="AO14" i="48"/>
  <c r="AO15" i="48"/>
  <c r="AO16" i="48"/>
  <c r="AO17" i="48"/>
  <c r="AO18" i="48"/>
  <c r="AO19" i="48"/>
  <c r="AO20" i="48"/>
  <c r="AO21" i="48"/>
  <c r="AO22" i="48"/>
  <c r="AO23" i="48"/>
  <c r="AO24" i="48"/>
  <c r="AO25" i="48"/>
  <c r="AO33" i="48"/>
  <c r="AO34" i="48"/>
  <c r="AO35" i="48"/>
  <c r="AO36" i="48"/>
  <c r="AO37" i="48"/>
  <c r="AO38" i="48"/>
  <c r="AO39" i="48"/>
  <c r="AO40" i="48"/>
  <c r="AO8" i="48"/>
  <c r="AO41" i="48"/>
  <c r="AO42" i="48"/>
  <c r="AO43" i="48"/>
  <c r="AO44" i="48"/>
  <c r="AO45" i="48"/>
  <c r="AO46" i="48"/>
  <c r="AE26" i="48"/>
  <c r="AE48" i="48"/>
  <c r="AE49" i="48"/>
  <c r="AE51" i="48"/>
  <c r="AE52" i="48"/>
  <c r="AE54" i="48"/>
  <c r="AE55" i="48"/>
  <c r="AE9" i="48"/>
  <c r="AE10" i="48"/>
  <c r="AE11" i="48"/>
  <c r="AE8" i="48"/>
  <c r="AE12" i="48"/>
  <c r="AE13" i="48"/>
  <c r="AE14" i="48"/>
  <c r="AE15" i="48"/>
  <c r="AE16" i="48"/>
  <c r="AE17" i="48"/>
  <c r="AE18" i="48"/>
  <c r="AE19" i="48"/>
  <c r="AE20" i="48"/>
  <c r="AE21" i="48"/>
  <c r="AE22" i="48"/>
  <c r="AE23" i="48"/>
  <c r="AE24" i="48"/>
  <c r="AE25" i="48"/>
  <c r="AE33" i="48"/>
  <c r="AE34" i="48"/>
  <c r="AE35" i="48"/>
  <c r="AE36" i="48"/>
  <c r="AE37" i="48"/>
  <c r="AE38" i="48"/>
  <c r="AE39" i="48"/>
  <c r="AE40" i="48"/>
  <c r="AE41" i="48"/>
  <c r="AE42" i="48"/>
  <c r="AE43" i="48"/>
  <c r="AE44" i="48"/>
  <c r="AE45" i="48"/>
  <c r="AE46" i="48"/>
  <c r="W26" i="48"/>
  <c r="W48" i="48"/>
  <c r="W49" i="48"/>
  <c r="W51" i="48"/>
  <c r="W52" i="48"/>
  <c r="W54" i="48"/>
  <c r="W55" i="48"/>
  <c r="W9" i="48"/>
  <c r="W10" i="48"/>
  <c r="W11" i="48"/>
  <c r="W12" i="48"/>
  <c r="W8" i="48"/>
  <c r="W13" i="48"/>
  <c r="W14" i="48"/>
  <c r="W15" i="48"/>
  <c r="W16" i="48"/>
  <c r="W17" i="48"/>
  <c r="W18" i="48"/>
  <c r="W19" i="48"/>
  <c r="W20" i="48"/>
  <c r="W21" i="48"/>
  <c r="W22" i="48"/>
  <c r="W23" i="48"/>
  <c r="W24" i="48"/>
  <c r="W25" i="48"/>
  <c r="W33" i="48"/>
  <c r="W34" i="48"/>
  <c r="W35" i="48"/>
  <c r="W36" i="48"/>
  <c r="W37" i="48"/>
  <c r="W38" i="48"/>
  <c r="W39" i="48"/>
  <c r="W40" i="48"/>
  <c r="W41" i="48"/>
  <c r="W42" i="48"/>
  <c r="W43" i="48"/>
  <c r="W44" i="48"/>
  <c r="W45" i="48"/>
  <c r="W46" i="48"/>
  <c r="AZ26" i="48"/>
  <c r="AZ49" i="48"/>
  <c r="AZ51" i="48"/>
  <c r="AZ52" i="48"/>
  <c r="AZ54" i="48"/>
  <c r="AZ55" i="48"/>
  <c r="AZ9" i="48"/>
  <c r="AZ10" i="48"/>
  <c r="AZ11" i="48"/>
  <c r="AZ12" i="48"/>
  <c r="AZ13" i="48"/>
  <c r="AZ48" i="48"/>
  <c r="AZ14" i="48"/>
  <c r="AZ15" i="48"/>
  <c r="AZ16" i="48"/>
  <c r="AZ17" i="48"/>
  <c r="AZ18" i="48"/>
  <c r="AZ19" i="48"/>
  <c r="AZ20" i="48"/>
  <c r="AZ21" i="48"/>
  <c r="AZ22" i="48"/>
  <c r="AZ23" i="48"/>
  <c r="AZ24" i="48"/>
  <c r="AZ25" i="48"/>
  <c r="AZ33" i="48"/>
  <c r="AZ34" i="48"/>
  <c r="AZ35" i="48"/>
  <c r="AZ36" i="48"/>
  <c r="AZ37" i="48"/>
  <c r="AZ38" i="48"/>
  <c r="AZ39" i="48"/>
  <c r="AZ40" i="48"/>
  <c r="AZ41" i="48"/>
  <c r="AZ42" i="48"/>
  <c r="AZ43" i="48"/>
  <c r="AZ44" i="48"/>
  <c r="AZ45" i="48"/>
  <c r="AZ46" i="48"/>
  <c r="AZ8" i="48"/>
  <c r="AR26" i="48"/>
  <c r="AR49" i="48"/>
  <c r="AR51" i="48"/>
  <c r="AR52" i="48"/>
  <c r="AR54" i="48"/>
  <c r="AR55" i="48"/>
  <c r="AR9" i="48"/>
  <c r="AR10" i="48"/>
  <c r="AR11" i="48"/>
  <c r="AR12" i="48"/>
  <c r="AR13" i="48"/>
  <c r="AR14" i="48"/>
  <c r="AR48" i="48"/>
  <c r="AR15" i="48"/>
  <c r="AR16" i="48"/>
  <c r="AR17" i="48"/>
  <c r="AR18" i="48"/>
  <c r="AR19" i="48"/>
  <c r="AR20" i="48"/>
  <c r="AR21" i="48"/>
  <c r="AR22" i="48"/>
  <c r="AR23" i="48"/>
  <c r="AR24" i="48"/>
  <c r="AR25" i="48"/>
  <c r="AR33" i="48"/>
  <c r="AR34" i="48"/>
  <c r="AR35" i="48"/>
  <c r="AR36" i="48"/>
  <c r="AR37" i="48"/>
  <c r="AR38" i="48"/>
  <c r="AR39" i="48"/>
  <c r="AR40" i="48"/>
  <c r="AR41" i="48"/>
  <c r="AR42" i="48"/>
  <c r="AR43" i="48"/>
  <c r="AR44" i="48"/>
  <c r="AR45" i="48"/>
  <c r="AR46" i="48"/>
  <c r="AR8" i="48"/>
  <c r="AY49" i="48"/>
  <c r="AY51" i="48"/>
  <c r="AY26" i="48"/>
  <c r="AY48" i="48"/>
  <c r="AY52" i="48"/>
  <c r="AY54" i="48"/>
  <c r="AY55" i="48"/>
  <c r="AY9" i="48"/>
  <c r="AY10" i="48"/>
  <c r="AY11" i="48"/>
  <c r="AY12" i="48"/>
  <c r="AY13" i="48"/>
  <c r="AY14" i="48"/>
  <c r="AY15" i="48"/>
  <c r="AY16" i="48"/>
  <c r="AY17" i="48"/>
  <c r="AY18" i="48"/>
  <c r="AY19" i="48"/>
  <c r="AY20" i="48"/>
  <c r="AY21" i="48"/>
  <c r="AY22" i="48"/>
  <c r="AY23" i="48"/>
  <c r="AY24" i="48"/>
  <c r="AY25" i="48"/>
  <c r="AY33" i="48"/>
  <c r="AY34" i="48"/>
  <c r="AY35" i="48"/>
  <c r="AY36" i="48"/>
  <c r="AY37" i="48"/>
  <c r="AY38" i="48"/>
  <c r="AY39" i="48"/>
  <c r="AY40" i="48"/>
  <c r="AY8" i="48"/>
  <c r="AY41" i="48"/>
  <c r="AY42" i="48"/>
  <c r="AY43" i="48"/>
  <c r="AY44" i="48"/>
  <c r="AY45" i="48"/>
  <c r="AY46" i="48"/>
  <c r="AQ49" i="48"/>
  <c r="AQ51" i="48"/>
  <c r="AQ26" i="48"/>
  <c r="AQ48" i="48"/>
  <c r="AQ52" i="48"/>
  <c r="AQ54" i="48"/>
  <c r="AQ55" i="48"/>
  <c r="AQ9" i="48"/>
  <c r="AQ10" i="48"/>
  <c r="AQ11" i="48"/>
  <c r="AQ12" i="48"/>
  <c r="AQ13" i="48"/>
  <c r="AQ14" i="48"/>
  <c r="AQ15" i="48"/>
  <c r="AQ16" i="48"/>
  <c r="AQ17" i="48"/>
  <c r="AQ18" i="48"/>
  <c r="AQ19" i="48"/>
  <c r="AQ20" i="48"/>
  <c r="AQ21" i="48"/>
  <c r="AQ22" i="48"/>
  <c r="AQ23" i="48"/>
  <c r="AQ24" i="48"/>
  <c r="AQ25" i="48"/>
  <c r="AQ33" i="48"/>
  <c r="AQ34" i="48"/>
  <c r="AQ35" i="48"/>
  <c r="AQ36" i="48"/>
  <c r="AQ37" i="48"/>
  <c r="AQ38" i="48"/>
  <c r="AQ39" i="48"/>
  <c r="AQ40" i="48"/>
  <c r="AQ8" i="48"/>
  <c r="AQ41" i="48"/>
  <c r="AQ42" i="48"/>
  <c r="AQ43" i="48"/>
  <c r="AQ44" i="48"/>
  <c r="AQ45" i="48"/>
  <c r="AQ46" i="48"/>
  <c r="AG26" i="48"/>
  <c r="AG48" i="48"/>
  <c r="AG49" i="48"/>
  <c r="AG51" i="48"/>
  <c r="AG52" i="48"/>
  <c r="AG54" i="48"/>
  <c r="AG55" i="48"/>
  <c r="AG9" i="48"/>
  <c r="AG10" i="48"/>
  <c r="AG11" i="48"/>
  <c r="AG8" i="48"/>
  <c r="AG12" i="48"/>
  <c r="AG13" i="48"/>
  <c r="AG14" i="48"/>
  <c r="AG15" i="48"/>
  <c r="AG16" i="48"/>
  <c r="AG17" i="48"/>
  <c r="AG18" i="48"/>
  <c r="AG19" i="48"/>
  <c r="AG20" i="48"/>
  <c r="AG21" i="48"/>
  <c r="AG22" i="48"/>
  <c r="AG23" i="48"/>
  <c r="AG24" i="48"/>
  <c r="AG25" i="48"/>
  <c r="AG33" i="48"/>
  <c r="AG34" i="48"/>
  <c r="AG35" i="48"/>
  <c r="AG36" i="48"/>
  <c r="AG37" i="48"/>
  <c r="AG38" i="48"/>
  <c r="AG39" i="48"/>
  <c r="AG40" i="48"/>
  <c r="AG41" i="48"/>
  <c r="AG42" i="48"/>
  <c r="AG43" i="48"/>
  <c r="AG44" i="48"/>
  <c r="AG45" i="48"/>
  <c r="AG46" i="48"/>
  <c r="Y26" i="48"/>
  <c r="Y48" i="48"/>
  <c r="Y49" i="48"/>
  <c r="Y51" i="48"/>
  <c r="Y52" i="48"/>
  <c r="Y54" i="48"/>
  <c r="Y55" i="48"/>
  <c r="Y9" i="48"/>
  <c r="Y10" i="48"/>
  <c r="Y11" i="48"/>
  <c r="Y12" i="48"/>
  <c r="Y8" i="48"/>
  <c r="Y13" i="48"/>
  <c r="Y14" i="48"/>
  <c r="Y15" i="48"/>
  <c r="Y16" i="48"/>
  <c r="Y17" i="48"/>
  <c r="Y18" i="48"/>
  <c r="Y19" i="48"/>
  <c r="Y20" i="48"/>
  <c r="Y21" i="48"/>
  <c r="Y22" i="48"/>
  <c r="Y23" i="48"/>
  <c r="Y24" i="48"/>
  <c r="Y25" i="48"/>
  <c r="Y33" i="48"/>
  <c r="Y34" i="48"/>
  <c r="Y35" i="48"/>
  <c r="Y36" i="48"/>
  <c r="Y37" i="48"/>
  <c r="Y38" i="48"/>
  <c r="Y39" i="48"/>
  <c r="Y40" i="48"/>
  <c r="Y41" i="48"/>
  <c r="Y42" i="48"/>
  <c r="Y43" i="48"/>
  <c r="Y44" i="48"/>
  <c r="Y45" i="48"/>
  <c r="Y46" i="48"/>
  <c r="BB26" i="48"/>
  <c r="BB49" i="48"/>
  <c r="BB51" i="48"/>
  <c r="BB52" i="48"/>
  <c r="BB54" i="48"/>
  <c r="BB55" i="48"/>
  <c r="BB9" i="48"/>
  <c r="BB10" i="48"/>
  <c r="BB11" i="48"/>
  <c r="BB12" i="48"/>
  <c r="BB13" i="48"/>
  <c r="BB48" i="48"/>
  <c r="BB15" i="48"/>
  <c r="BB16" i="48"/>
  <c r="BB17" i="48"/>
  <c r="BB18" i="48"/>
  <c r="BB19" i="48"/>
  <c r="BB20" i="48"/>
  <c r="BB21" i="48"/>
  <c r="BB22" i="48"/>
  <c r="BB23" i="48"/>
  <c r="BB24" i="48"/>
  <c r="BB25" i="48"/>
  <c r="BB33" i="48"/>
  <c r="BB34" i="48"/>
  <c r="BB35" i="48"/>
  <c r="BB36" i="48"/>
  <c r="BB37" i="48"/>
  <c r="BB38" i="48"/>
  <c r="BB39" i="48"/>
  <c r="BB14" i="48"/>
  <c r="BB40" i="48"/>
  <c r="BB41" i="48"/>
  <c r="BB42" i="48"/>
  <c r="BB43" i="48"/>
  <c r="BB44" i="48"/>
  <c r="BB45" i="48"/>
  <c r="BB46" i="48"/>
  <c r="BB8" i="48"/>
  <c r="AT26" i="48"/>
  <c r="AT49" i="48"/>
  <c r="AT51" i="48"/>
  <c r="AT52" i="48"/>
  <c r="AT54" i="48"/>
  <c r="AT55" i="48"/>
  <c r="AT9" i="48"/>
  <c r="AT10" i="48"/>
  <c r="AT11" i="48"/>
  <c r="AT12" i="48"/>
  <c r="AT13" i="48"/>
  <c r="AT14" i="48"/>
  <c r="AT48" i="48"/>
  <c r="AT15" i="48"/>
  <c r="AT16" i="48"/>
  <c r="AT17" i="48"/>
  <c r="AT18" i="48"/>
  <c r="AT19" i="48"/>
  <c r="AT20" i="48"/>
  <c r="AT21" i="48"/>
  <c r="AT22" i="48"/>
  <c r="AT23" i="48"/>
  <c r="AT24" i="48"/>
  <c r="AT25" i="48"/>
  <c r="AT33" i="48"/>
  <c r="AT34" i="48"/>
  <c r="AT35" i="48"/>
  <c r="AT36" i="48"/>
  <c r="AT37" i="48"/>
  <c r="AT38" i="48"/>
  <c r="AT39" i="48"/>
  <c r="AT40" i="48"/>
  <c r="AT41" i="48"/>
  <c r="AT42" i="48"/>
  <c r="AT43" i="48"/>
  <c r="AT44" i="48"/>
  <c r="AT45" i="48"/>
  <c r="AT46" i="48"/>
  <c r="AT8" i="48"/>
  <c r="C48" i="43"/>
  <c r="B48" i="43"/>
  <c r="C47" i="43"/>
  <c r="B47" i="43"/>
  <c r="C46" i="43"/>
  <c r="B46" i="43"/>
  <c r="C45" i="43"/>
  <c r="B45" i="43"/>
  <c r="C44" i="43"/>
  <c r="B44" i="43"/>
  <c r="C43" i="43"/>
  <c r="B43" i="43"/>
  <c r="C41" i="43"/>
  <c r="B41" i="43"/>
  <c r="C40" i="43"/>
  <c r="B40" i="43"/>
  <c r="C39" i="43"/>
  <c r="B39" i="43"/>
  <c r="C38" i="43"/>
  <c r="B38" i="43"/>
  <c r="C37" i="43"/>
  <c r="B37" i="43"/>
  <c r="C36" i="43"/>
  <c r="B36" i="43"/>
  <c r="C35" i="43"/>
  <c r="B35" i="43"/>
  <c r="C34" i="43"/>
  <c r="B34" i="43"/>
  <c r="C33" i="43"/>
  <c r="B33" i="43"/>
  <c r="C32" i="43"/>
  <c r="B32" i="43"/>
  <c r="C31" i="43"/>
  <c r="B31" i="43"/>
  <c r="C30" i="43"/>
  <c r="B30" i="43"/>
  <c r="C29" i="43"/>
  <c r="B29" i="43"/>
  <c r="B28" i="43"/>
  <c r="C27" i="43"/>
  <c r="B27" i="43"/>
  <c r="C26" i="43"/>
  <c r="B26" i="43"/>
  <c r="C25" i="43"/>
  <c r="B25" i="43"/>
  <c r="C24" i="43"/>
  <c r="B24" i="43"/>
  <c r="C23" i="43"/>
  <c r="B23" i="43"/>
  <c r="C22" i="43"/>
  <c r="B22" i="43"/>
  <c r="C21" i="43"/>
  <c r="B21" i="43"/>
  <c r="C20" i="43"/>
  <c r="B20" i="43"/>
  <c r="C19" i="43"/>
  <c r="B19" i="43"/>
  <c r="C18" i="43"/>
  <c r="B18" i="43"/>
  <c r="C17" i="43"/>
  <c r="B17" i="43"/>
  <c r="C16" i="43"/>
  <c r="B16" i="43"/>
  <c r="C15" i="43"/>
  <c r="B15" i="43"/>
  <c r="C14" i="43"/>
  <c r="B14" i="43"/>
  <c r="C13" i="43"/>
  <c r="B13" i="43"/>
  <c r="C12" i="43"/>
  <c r="B12" i="43"/>
  <c r="C11" i="43"/>
  <c r="B11" i="43"/>
  <c r="C10" i="43"/>
  <c r="B10" i="43"/>
  <c r="C9" i="43"/>
  <c r="B9" i="43"/>
  <c r="C8" i="43"/>
  <c r="B8" i="43"/>
  <c r="C7" i="43"/>
  <c r="B7" i="43"/>
  <c r="C52" i="44"/>
  <c r="B52" i="44"/>
  <c r="C51" i="44"/>
  <c r="B51" i="44"/>
  <c r="C50" i="44"/>
  <c r="B50" i="44"/>
  <c r="C49" i="44"/>
  <c r="B49" i="44"/>
  <c r="C48" i="44"/>
  <c r="B48" i="44"/>
  <c r="C47" i="44"/>
  <c r="B47" i="44"/>
  <c r="C46" i="44"/>
  <c r="B46" i="44"/>
  <c r="C45" i="44"/>
  <c r="B45" i="44"/>
  <c r="C43" i="44"/>
  <c r="B43" i="44"/>
  <c r="C42" i="44"/>
  <c r="B42" i="44"/>
  <c r="C41" i="44"/>
  <c r="B41" i="44"/>
  <c r="C40" i="44"/>
  <c r="B40" i="44"/>
  <c r="C39" i="44"/>
  <c r="B39" i="44"/>
  <c r="C38" i="44"/>
  <c r="B38" i="44"/>
  <c r="C37" i="44"/>
  <c r="B37" i="44"/>
  <c r="C36" i="44"/>
  <c r="B36" i="44"/>
  <c r="C35" i="44"/>
  <c r="B35" i="44"/>
  <c r="C34" i="44"/>
  <c r="B34" i="44"/>
  <c r="C33" i="44"/>
  <c r="B33" i="44"/>
  <c r="C32" i="44"/>
  <c r="B32" i="44"/>
  <c r="C31" i="44"/>
  <c r="B31" i="44"/>
  <c r="B30" i="44"/>
  <c r="C29" i="44"/>
  <c r="B29" i="44"/>
  <c r="C28" i="44"/>
  <c r="B28" i="44"/>
  <c r="C27" i="44"/>
  <c r="B27" i="44"/>
  <c r="C26" i="44"/>
  <c r="B26" i="44"/>
  <c r="C25" i="44"/>
  <c r="B25" i="44"/>
  <c r="C24" i="44"/>
  <c r="B24" i="44"/>
  <c r="C23" i="44"/>
  <c r="B23" i="44"/>
  <c r="C22" i="44"/>
  <c r="B22" i="44"/>
  <c r="C21" i="44"/>
  <c r="B21" i="44"/>
  <c r="C20" i="44"/>
  <c r="B20" i="44"/>
  <c r="C19" i="44"/>
  <c r="B19" i="44"/>
  <c r="C18" i="44"/>
  <c r="B18" i="44"/>
  <c r="C17" i="44"/>
  <c r="B17" i="44"/>
  <c r="C16" i="44"/>
  <c r="B16" i="44"/>
  <c r="C15" i="44"/>
  <c r="B15" i="44"/>
  <c r="C14" i="44"/>
  <c r="B14" i="44"/>
  <c r="C13" i="44"/>
  <c r="B13" i="44"/>
  <c r="C12" i="44"/>
  <c r="B12" i="44"/>
  <c r="C11" i="44"/>
  <c r="B11" i="44"/>
  <c r="C10" i="44"/>
  <c r="B10" i="44"/>
  <c r="C9" i="44"/>
  <c r="B9" i="44"/>
  <c r="C8" i="44"/>
  <c r="B8" i="44"/>
  <c r="C7" i="44"/>
  <c r="B7" i="44"/>
  <c r="C41" i="45"/>
  <c r="B41" i="45"/>
  <c r="C40" i="45"/>
  <c r="B40" i="45"/>
  <c r="C39" i="45"/>
  <c r="B39" i="45"/>
  <c r="C38" i="45"/>
  <c r="B38" i="45"/>
  <c r="C37" i="45"/>
  <c r="B37" i="45"/>
  <c r="C36" i="45"/>
  <c r="B36" i="45"/>
  <c r="C35" i="45"/>
  <c r="B35" i="45"/>
  <c r="C34" i="45"/>
  <c r="B34" i="45"/>
  <c r="C33" i="45"/>
  <c r="B33" i="45"/>
  <c r="C32" i="45"/>
  <c r="B32" i="45"/>
  <c r="C31" i="45"/>
  <c r="B31" i="45"/>
  <c r="C30" i="45"/>
  <c r="B30" i="45"/>
  <c r="C29" i="45"/>
  <c r="B29" i="45"/>
  <c r="B28" i="45"/>
  <c r="C27" i="45"/>
  <c r="B27" i="45"/>
  <c r="C26" i="45"/>
  <c r="B26" i="45"/>
  <c r="C25" i="45"/>
  <c r="B25" i="45"/>
  <c r="C24" i="45"/>
  <c r="B24" i="45"/>
  <c r="C23" i="45"/>
  <c r="B23" i="45"/>
  <c r="C22" i="45"/>
  <c r="B22" i="45"/>
  <c r="C21" i="45"/>
  <c r="B21" i="45"/>
  <c r="C20" i="45"/>
  <c r="B20" i="45"/>
  <c r="C19" i="45"/>
  <c r="B19" i="45"/>
  <c r="C18" i="45"/>
  <c r="B18" i="45"/>
  <c r="C17" i="45"/>
  <c r="B17" i="45"/>
  <c r="C16" i="45"/>
  <c r="B16" i="45"/>
  <c r="C15" i="45"/>
  <c r="B15" i="45"/>
  <c r="C14" i="45"/>
  <c r="B14" i="45"/>
  <c r="C13" i="45"/>
  <c r="B13" i="45"/>
  <c r="C12" i="45"/>
  <c r="B12" i="45"/>
  <c r="C11" i="45"/>
  <c r="B11" i="45"/>
  <c r="C10" i="45"/>
  <c r="B10" i="45"/>
  <c r="C9" i="45"/>
  <c r="B9" i="45"/>
  <c r="C8" i="45"/>
  <c r="B8" i="45"/>
  <c r="C7" i="45"/>
  <c r="B7" i="45"/>
  <c r="C43" i="46"/>
  <c r="B43" i="46"/>
  <c r="C42" i="46"/>
  <c r="B42" i="46"/>
  <c r="C41" i="46"/>
  <c r="B41" i="46"/>
  <c r="C40" i="46"/>
  <c r="B40" i="46"/>
  <c r="C39" i="46"/>
  <c r="B39" i="46"/>
  <c r="C38" i="46"/>
  <c r="B38" i="46"/>
  <c r="C37" i="46"/>
  <c r="B37" i="46"/>
  <c r="C36" i="46"/>
  <c r="B36" i="46"/>
  <c r="C35" i="46"/>
  <c r="B35" i="46"/>
  <c r="C34" i="46"/>
  <c r="B34" i="46"/>
  <c r="C33" i="46"/>
  <c r="B33" i="46"/>
  <c r="C32" i="46"/>
  <c r="B32" i="46"/>
  <c r="C31" i="46"/>
  <c r="B31" i="46"/>
  <c r="B30" i="46"/>
  <c r="C29" i="46"/>
  <c r="B29" i="46"/>
  <c r="C28" i="46"/>
  <c r="B28" i="46"/>
  <c r="C27" i="46"/>
  <c r="B27" i="46"/>
  <c r="C26" i="46"/>
  <c r="B26" i="46"/>
  <c r="C25" i="46"/>
  <c r="B25" i="46"/>
  <c r="C24" i="46"/>
  <c r="B24" i="46"/>
  <c r="C23" i="46"/>
  <c r="B23" i="46"/>
  <c r="C22" i="46"/>
  <c r="B22" i="46"/>
  <c r="C21" i="46"/>
  <c r="B21" i="46"/>
  <c r="C20" i="46"/>
  <c r="B20" i="46"/>
  <c r="C19" i="46"/>
  <c r="B19" i="46"/>
  <c r="C18" i="46"/>
  <c r="B18" i="46"/>
  <c r="C17" i="46"/>
  <c r="B17" i="46"/>
  <c r="C16" i="46"/>
  <c r="B16" i="46"/>
  <c r="C15" i="46"/>
  <c r="B15" i="46"/>
  <c r="C14" i="46"/>
  <c r="B14" i="46"/>
  <c r="C13" i="46"/>
  <c r="B13" i="46"/>
  <c r="C12" i="46"/>
  <c r="B12" i="46"/>
  <c r="C11" i="46"/>
  <c r="B11" i="46"/>
  <c r="C10" i="46"/>
  <c r="B10" i="46"/>
  <c r="C9" i="46"/>
  <c r="B9" i="46"/>
  <c r="C8" i="46"/>
  <c r="B8" i="46"/>
  <c r="C7" i="46"/>
  <c r="B7" i="46"/>
  <c r="S45" i="48" l="1"/>
  <c r="F45" i="48" s="1"/>
  <c r="S51" i="48"/>
  <c r="F51" i="48" s="1"/>
  <c r="S22" i="48"/>
  <c r="F22" i="48" s="1"/>
  <c r="S37" i="48"/>
  <c r="F37" i="48" s="1"/>
  <c r="S14" i="48"/>
  <c r="F14" i="48" s="1"/>
  <c r="S41" i="48"/>
  <c r="F41" i="48" s="1"/>
  <c r="S33" i="48"/>
  <c r="F33" i="48" s="1"/>
  <c r="S18" i="48"/>
  <c r="F18" i="48" s="1"/>
  <c r="S9" i="48"/>
  <c r="F9" i="48" s="1"/>
  <c r="S12" i="48"/>
  <c r="F12" i="48" s="1"/>
  <c r="S43" i="48"/>
  <c r="F43" i="48" s="1"/>
  <c r="S39" i="48"/>
  <c r="F39" i="48" s="1"/>
  <c r="S35" i="48"/>
  <c r="F35" i="48" s="1"/>
  <c r="S24" i="48"/>
  <c r="F24" i="48" s="1"/>
  <c r="S20" i="48"/>
  <c r="F20" i="48" s="1"/>
  <c r="S16" i="48"/>
  <c r="F16" i="48" s="1"/>
  <c r="S11" i="48"/>
  <c r="F11" i="48" s="1"/>
  <c r="S54" i="48"/>
  <c r="F54" i="48" s="1"/>
  <c r="S46" i="48"/>
  <c r="F46" i="48" s="1"/>
  <c r="S42" i="48"/>
  <c r="F42" i="48" s="1"/>
  <c r="S38" i="48"/>
  <c r="F38" i="48" s="1"/>
  <c r="S34" i="48"/>
  <c r="F34" i="48" s="1"/>
  <c r="S23" i="48"/>
  <c r="F23" i="48" s="1"/>
  <c r="S19" i="48"/>
  <c r="F19" i="48" s="1"/>
  <c r="S15" i="48"/>
  <c r="F15" i="48" s="1"/>
  <c r="S55" i="48"/>
  <c r="F55" i="48" s="1"/>
  <c r="S49" i="48"/>
  <c r="F49" i="48" s="1"/>
  <c r="S44" i="48"/>
  <c r="F44" i="48" s="1"/>
  <c r="S40" i="48"/>
  <c r="F40" i="48" s="1"/>
  <c r="S36" i="48"/>
  <c r="F36" i="48" s="1"/>
  <c r="S25" i="48"/>
  <c r="F25" i="48" s="1"/>
  <c r="S21" i="48"/>
  <c r="F21" i="48" s="1"/>
  <c r="S17" i="48"/>
  <c r="F17" i="48" s="1"/>
  <c r="S13" i="48"/>
  <c r="F13" i="48" s="1"/>
  <c r="S10" i="48"/>
  <c r="F10" i="48" s="1"/>
  <c r="S52" i="48"/>
  <c r="F52" i="48" s="1"/>
  <c r="S26" i="48"/>
  <c r="F26" i="48" s="1"/>
  <c r="AM8" i="48"/>
  <c r="G8" i="48" s="1"/>
  <c r="AM45" i="48"/>
  <c r="G45" i="48" s="1"/>
  <c r="AM43" i="48"/>
  <c r="G43" i="48" s="1"/>
  <c r="AM41" i="48"/>
  <c r="G41" i="48" s="1"/>
  <c r="AM40" i="48"/>
  <c r="G40" i="48" s="1"/>
  <c r="AM38" i="48"/>
  <c r="G38" i="48" s="1"/>
  <c r="AM36" i="48"/>
  <c r="G36" i="48" s="1"/>
  <c r="AM34" i="48"/>
  <c r="G34" i="48" s="1"/>
  <c r="AM25" i="48"/>
  <c r="G25" i="48" s="1"/>
  <c r="AM23" i="48"/>
  <c r="G23" i="48" s="1"/>
  <c r="AM21" i="48"/>
  <c r="G21" i="48" s="1"/>
  <c r="AM19" i="48"/>
  <c r="G19" i="48" s="1"/>
  <c r="AM17" i="48"/>
  <c r="G17" i="48" s="1"/>
  <c r="AM48" i="48"/>
  <c r="G48" i="48" s="1"/>
  <c r="AM14" i="48"/>
  <c r="G14" i="48" s="1"/>
  <c r="AM12" i="48"/>
  <c r="G12" i="48" s="1"/>
  <c r="AM10" i="48"/>
  <c r="G10" i="48" s="1"/>
  <c r="AM55" i="48"/>
  <c r="G55" i="48" s="1"/>
  <c r="AM51" i="48"/>
  <c r="G51" i="48" s="1"/>
  <c r="AM26" i="48"/>
  <c r="G26" i="48" s="1"/>
  <c r="S8" i="48"/>
  <c r="F8" i="48" s="1"/>
  <c r="S48" i="48"/>
  <c r="F48" i="48" s="1"/>
  <c r="AM46" i="48"/>
  <c r="G46" i="48" s="1"/>
  <c r="AM44" i="48"/>
  <c r="G44" i="48" s="1"/>
  <c r="AM42" i="48"/>
  <c r="G42" i="48" s="1"/>
  <c r="AM15" i="48"/>
  <c r="G15" i="48" s="1"/>
  <c r="AM39" i="48"/>
  <c r="G39" i="48" s="1"/>
  <c r="AM37" i="48"/>
  <c r="G37" i="48" s="1"/>
  <c r="AM35" i="48"/>
  <c r="G35" i="48" s="1"/>
  <c r="AM33" i="48"/>
  <c r="G33" i="48" s="1"/>
  <c r="AM24" i="48"/>
  <c r="G24" i="48" s="1"/>
  <c r="AM22" i="48"/>
  <c r="G22" i="48" s="1"/>
  <c r="AM20" i="48"/>
  <c r="G20" i="48" s="1"/>
  <c r="AM18" i="48"/>
  <c r="G18" i="48" s="1"/>
  <c r="AM16" i="48"/>
  <c r="G16" i="48" s="1"/>
  <c r="AM52" i="48"/>
  <c r="G52" i="48" s="1"/>
  <c r="AM13" i="48"/>
  <c r="G13" i="48" s="1"/>
  <c r="AM11" i="48"/>
  <c r="G11" i="48" s="1"/>
  <c r="AM9" i="48"/>
  <c r="G9" i="48" s="1"/>
  <c r="AM54" i="48"/>
  <c r="G54" i="48" s="1"/>
  <c r="AM49" i="48"/>
  <c r="G49" i="48" s="1"/>
  <c r="B7" i="42"/>
  <c r="C7" i="42"/>
  <c r="B8" i="42"/>
  <c r="C8" i="42"/>
  <c r="B9" i="42"/>
  <c r="C9" i="42"/>
  <c r="B10" i="42"/>
  <c r="C10" i="42"/>
  <c r="B11" i="42"/>
  <c r="C11" i="42"/>
  <c r="B12" i="42"/>
  <c r="C12" i="42"/>
  <c r="B13" i="42"/>
  <c r="C13" i="42"/>
  <c r="B14" i="42"/>
  <c r="C14" i="42"/>
  <c r="B15" i="42"/>
  <c r="C15" i="42"/>
  <c r="B16" i="42"/>
  <c r="C16" i="42"/>
  <c r="B17" i="42"/>
  <c r="C17" i="42"/>
  <c r="B18" i="42"/>
  <c r="C18" i="42"/>
  <c r="B19" i="42"/>
  <c r="C19" i="42"/>
  <c r="B20" i="42"/>
  <c r="C20" i="42"/>
  <c r="B21" i="42"/>
  <c r="C21" i="42"/>
  <c r="B22" i="42"/>
  <c r="C22" i="42"/>
  <c r="B23" i="42"/>
  <c r="C23" i="42"/>
  <c r="B24" i="42"/>
  <c r="C24" i="42"/>
  <c r="B25" i="42"/>
  <c r="C25" i="42"/>
  <c r="B26" i="42"/>
  <c r="B27" i="42"/>
  <c r="C27" i="42"/>
  <c r="B28" i="42"/>
  <c r="C28" i="42"/>
  <c r="B29" i="42"/>
  <c r="C29" i="42"/>
  <c r="B30" i="42"/>
  <c r="C30" i="42"/>
  <c r="B31" i="42"/>
  <c r="C31" i="42"/>
  <c r="B32" i="42"/>
  <c r="C32" i="42"/>
  <c r="B33" i="42"/>
  <c r="C33" i="42"/>
  <c r="B34" i="42"/>
  <c r="C34" i="42"/>
  <c r="B35" i="42"/>
  <c r="C35" i="42"/>
  <c r="B36" i="42"/>
  <c r="C36" i="42"/>
  <c r="B37" i="42"/>
  <c r="C37" i="42"/>
  <c r="B38" i="42"/>
  <c r="C38" i="42"/>
  <c r="B39" i="42"/>
  <c r="C39" i="42"/>
  <c r="B5" i="42"/>
  <c r="C5" i="42"/>
  <c r="B6" i="42"/>
  <c r="C6" i="42"/>
  <c r="B7" i="41" l="1"/>
  <c r="C7" i="41"/>
  <c r="B8" i="41"/>
  <c r="C8" i="41"/>
  <c r="B9" i="41"/>
  <c r="C9" i="41"/>
  <c r="B10" i="41"/>
  <c r="C10" i="41"/>
  <c r="B11" i="41"/>
  <c r="C11" i="41"/>
  <c r="B12" i="41"/>
  <c r="C12" i="41"/>
  <c r="B13" i="41"/>
  <c r="C13" i="41"/>
  <c r="B14" i="41"/>
  <c r="C14" i="41"/>
  <c r="B15" i="41"/>
  <c r="C15" i="41"/>
  <c r="B16" i="41"/>
  <c r="C16" i="41"/>
  <c r="B17" i="41"/>
  <c r="C17" i="41"/>
  <c r="B18" i="41"/>
  <c r="C18" i="41"/>
  <c r="B19" i="41"/>
  <c r="C19" i="41"/>
  <c r="B20" i="41"/>
  <c r="C20" i="41"/>
  <c r="B21" i="41"/>
  <c r="C21" i="41"/>
  <c r="B22" i="41"/>
  <c r="C22" i="41"/>
  <c r="B23" i="41"/>
  <c r="C23" i="41"/>
  <c r="B24" i="41"/>
  <c r="B25" i="41"/>
  <c r="C25" i="41"/>
  <c r="B26" i="41"/>
  <c r="C26" i="41"/>
  <c r="B27" i="41"/>
  <c r="C27" i="41"/>
  <c r="B28" i="41"/>
  <c r="C28" i="41"/>
  <c r="B29" i="41"/>
  <c r="C29" i="41"/>
  <c r="B30" i="41"/>
  <c r="C30" i="41"/>
  <c r="B31" i="41"/>
  <c r="C31" i="41"/>
  <c r="B32" i="41"/>
  <c r="C32" i="41"/>
  <c r="B33" i="41"/>
  <c r="C33" i="41"/>
  <c r="B34" i="41"/>
  <c r="C34" i="41"/>
  <c r="B35" i="41"/>
  <c r="C35" i="41"/>
  <c r="B36" i="41"/>
  <c r="C36" i="41"/>
  <c r="B37" i="41"/>
  <c r="C37" i="41"/>
  <c r="B5" i="41"/>
  <c r="C5" i="41"/>
  <c r="C6" i="41" l="1"/>
  <c r="B6" i="41"/>
  <c r="I27" i="40" l="1"/>
  <c r="I26" i="40"/>
  <c r="I25" i="40"/>
  <c r="I24" i="40"/>
  <c r="I23" i="40"/>
  <c r="I22" i="40"/>
  <c r="DW51" i="4" l="1"/>
  <c r="DV51" i="4"/>
  <c r="DU51" i="4"/>
  <c r="DT51" i="4"/>
  <c r="DS51" i="4"/>
  <c r="CZ51" i="4"/>
  <c r="CY51" i="4"/>
  <c r="CX51" i="4"/>
  <c r="CW51" i="4"/>
  <c r="CV51" i="4"/>
  <c r="BR51" i="4"/>
  <c r="BQ51" i="4"/>
  <c r="D51" i="20" s="1"/>
  <c r="BJ51" i="4"/>
  <c r="BI51" i="4"/>
  <c r="BH51" i="4"/>
  <c r="BG51" i="4"/>
  <c r="BF51" i="4"/>
  <c r="AM51" i="4"/>
  <c r="AL51" i="4"/>
  <c r="AK51" i="4"/>
  <c r="AJ51" i="4"/>
  <c r="AI51" i="4"/>
  <c r="E51" i="4"/>
  <c r="D55" i="48" s="1"/>
  <c r="E55" i="48" s="1"/>
  <c r="D51" i="4"/>
  <c r="DW50" i="4"/>
  <c r="DV50" i="4"/>
  <c r="DU50" i="4"/>
  <c r="DT50" i="4"/>
  <c r="DS50" i="4"/>
  <c r="CZ50" i="4"/>
  <c r="CY50" i="4"/>
  <c r="CX50" i="4"/>
  <c r="CW50" i="4"/>
  <c r="CV50" i="4"/>
  <c r="BR50" i="4"/>
  <c r="BQ50" i="4"/>
  <c r="D50" i="20" s="1"/>
  <c r="BJ50" i="4"/>
  <c r="BI50" i="4"/>
  <c r="BH50" i="4"/>
  <c r="BG50" i="4"/>
  <c r="BF50" i="4"/>
  <c r="AM50" i="4"/>
  <c r="AL50" i="4"/>
  <c r="AK50" i="4"/>
  <c r="AJ50" i="4"/>
  <c r="AI50" i="4"/>
  <c r="E50" i="4"/>
  <c r="D54" i="48" s="1"/>
  <c r="E54" i="48" s="1"/>
  <c r="D50" i="4"/>
  <c r="DW49" i="4"/>
  <c r="DV49" i="4"/>
  <c r="DU49" i="4"/>
  <c r="DT49" i="4"/>
  <c r="DS49" i="4"/>
  <c r="CZ49" i="4"/>
  <c r="CY49" i="4"/>
  <c r="CX49" i="4"/>
  <c r="CW49" i="4"/>
  <c r="CV49" i="4"/>
  <c r="BR49" i="4"/>
  <c r="BQ49" i="4"/>
  <c r="D49" i="20" s="1"/>
  <c r="BJ49" i="4"/>
  <c r="BI49" i="4"/>
  <c r="BH49" i="4"/>
  <c r="BG49" i="4"/>
  <c r="BF49" i="4"/>
  <c r="AM49" i="4"/>
  <c r="AL49" i="4"/>
  <c r="AK49" i="4"/>
  <c r="AJ49" i="4"/>
  <c r="AI49" i="4"/>
  <c r="E49" i="4"/>
  <c r="D49" i="4"/>
  <c r="DW48" i="4"/>
  <c r="DV48" i="4"/>
  <c r="DU48" i="4"/>
  <c r="DT48" i="4"/>
  <c r="DS48" i="4"/>
  <c r="CZ48" i="4"/>
  <c r="CY48" i="4"/>
  <c r="CX48" i="4"/>
  <c r="CW48" i="4"/>
  <c r="CV48" i="4"/>
  <c r="BR48" i="4"/>
  <c r="BQ48" i="4"/>
  <c r="D48" i="20" s="1"/>
  <c r="BJ48" i="4"/>
  <c r="BI48" i="4"/>
  <c r="BH48" i="4"/>
  <c r="BG48" i="4"/>
  <c r="BF48" i="4"/>
  <c r="AM48" i="4"/>
  <c r="AL48" i="4"/>
  <c r="AK48" i="4"/>
  <c r="AJ48" i="4"/>
  <c r="AI48" i="4"/>
  <c r="E48" i="4"/>
  <c r="D52" i="48" s="1"/>
  <c r="E52" i="48" s="1"/>
  <c r="D48" i="4"/>
  <c r="DW47" i="4"/>
  <c r="DV47" i="4"/>
  <c r="DU47" i="4"/>
  <c r="DT47" i="4"/>
  <c r="DS47" i="4"/>
  <c r="CZ47" i="4"/>
  <c r="CY47" i="4"/>
  <c r="CX47" i="4"/>
  <c r="CW47" i="4"/>
  <c r="CV47" i="4"/>
  <c r="BR47" i="4"/>
  <c r="BQ47" i="4"/>
  <c r="D47" i="20" s="1"/>
  <c r="BJ47" i="4"/>
  <c r="BI47" i="4"/>
  <c r="BH47" i="4"/>
  <c r="BG47" i="4"/>
  <c r="BF47" i="4"/>
  <c r="AM47" i="4"/>
  <c r="AL47" i="4"/>
  <c r="AK47" i="4"/>
  <c r="AJ47" i="4"/>
  <c r="AI47" i="4"/>
  <c r="E47" i="4"/>
  <c r="D51" i="48" s="1"/>
  <c r="E51" i="48" s="1"/>
  <c r="D47" i="4"/>
  <c r="DW46" i="4"/>
  <c r="DV46" i="4"/>
  <c r="DU46" i="4"/>
  <c r="DT46" i="4"/>
  <c r="DS46" i="4"/>
  <c r="CZ46" i="4"/>
  <c r="CY46" i="4"/>
  <c r="CX46" i="4"/>
  <c r="CW46" i="4"/>
  <c r="CV46" i="4"/>
  <c r="BR46" i="4"/>
  <c r="BQ46" i="4"/>
  <c r="D46" i="20" s="1"/>
  <c r="BJ46" i="4"/>
  <c r="BI46" i="4"/>
  <c r="BH46" i="4"/>
  <c r="BG46" i="4"/>
  <c r="BF46" i="4"/>
  <c r="AM46" i="4"/>
  <c r="AL46" i="4"/>
  <c r="AK46" i="4"/>
  <c r="AJ46" i="4"/>
  <c r="AI46" i="4"/>
  <c r="E46" i="4"/>
  <c r="D46" i="4"/>
  <c r="DW45" i="4"/>
  <c r="DV45" i="4"/>
  <c r="DU45" i="4"/>
  <c r="DT45" i="4"/>
  <c r="DS45" i="4"/>
  <c r="CZ45" i="4"/>
  <c r="CY45" i="4"/>
  <c r="CX45" i="4"/>
  <c r="CW45" i="4"/>
  <c r="CV45" i="4"/>
  <c r="BR45" i="4"/>
  <c r="BQ45" i="4"/>
  <c r="D45" i="20" s="1"/>
  <c r="BJ45" i="4"/>
  <c r="BI45" i="4"/>
  <c r="BH45" i="4"/>
  <c r="BG45" i="4"/>
  <c r="BF45" i="4"/>
  <c r="AM45" i="4"/>
  <c r="AL45" i="4"/>
  <c r="AK45" i="4"/>
  <c r="AJ45" i="4"/>
  <c r="AI45" i="4"/>
  <c r="E45" i="4"/>
  <c r="D49" i="48" s="1"/>
  <c r="E49" i="48" s="1"/>
  <c r="D45" i="4"/>
  <c r="DW44" i="4"/>
  <c r="DV44" i="4"/>
  <c r="DU44" i="4"/>
  <c r="DT44" i="4"/>
  <c r="DS44" i="4"/>
  <c r="CZ44" i="4"/>
  <c r="CY44" i="4"/>
  <c r="CX44" i="4"/>
  <c r="CW44" i="4"/>
  <c r="CV44" i="4"/>
  <c r="BR44" i="4"/>
  <c r="BQ44" i="4"/>
  <c r="D44" i="20" s="1"/>
  <c r="BJ44" i="4"/>
  <c r="BI44" i="4"/>
  <c r="BH44" i="4"/>
  <c r="BG44" i="4"/>
  <c r="BF44" i="4"/>
  <c r="AM44" i="4"/>
  <c r="AL44" i="4"/>
  <c r="AK44" i="4"/>
  <c r="AJ44" i="4"/>
  <c r="AI44" i="4"/>
  <c r="E44" i="4"/>
  <c r="D48" i="48" s="1"/>
  <c r="E48" i="48" s="1"/>
  <c r="D44" i="4"/>
  <c r="DW43" i="4"/>
  <c r="DV43" i="4"/>
  <c r="DU43" i="4"/>
  <c r="DT43" i="4"/>
  <c r="DS43" i="4"/>
  <c r="CZ43" i="4"/>
  <c r="CY43" i="4"/>
  <c r="CX43" i="4"/>
  <c r="CW43" i="4"/>
  <c r="CV43" i="4"/>
  <c r="BR43" i="4"/>
  <c r="BQ43" i="4"/>
  <c r="BJ43" i="4"/>
  <c r="BI43" i="4"/>
  <c r="BH43" i="4"/>
  <c r="BG43" i="4"/>
  <c r="BF43" i="4"/>
  <c r="AM43" i="4"/>
  <c r="AL43" i="4"/>
  <c r="AK43" i="4"/>
  <c r="AJ43" i="4"/>
  <c r="AI43" i="4"/>
  <c r="E43" i="4"/>
  <c r="D43" i="4"/>
  <c r="DW42" i="4"/>
  <c r="DV42" i="4"/>
  <c r="DU42" i="4"/>
  <c r="DT42" i="4"/>
  <c r="DS42" i="4"/>
  <c r="CZ42" i="4"/>
  <c r="CY42" i="4"/>
  <c r="CX42" i="4"/>
  <c r="CW42" i="4"/>
  <c r="CV42" i="4"/>
  <c r="BR42" i="4"/>
  <c r="BQ42" i="4"/>
  <c r="BJ42" i="4"/>
  <c r="BI42" i="4"/>
  <c r="BH42" i="4"/>
  <c r="BG42" i="4"/>
  <c r="BF42" i="4"/>
  <c r="AM42" i="4"/>
  <c r="AL42" i="4"/>
  <c r="AK42" i="4"/>
  <c r="AJ42" i="4"/>
  <c r="AI42" i="4"/>
  <c r="E42" i="4"/>
  <c r="D42" i="4"/>
  <c r="DW41" i="4"/>
  <c r="DV41" i="4"/>
  <c r="DU41" i="4"/>
  <c r="DT41" i="4"/>
  <c r="DS41" i="4"/>
  <c r="CZ41" i="4"/>
  <c r="CY41" i="4"/>
  <c r="CX41" i="4"/>
  <c r="CW41" i="4"/>
  <c r="CV41" i="4"/>
  <c r="BR41" i="4"/>
  <c r="BQ41" i="4"/>
  <c r="BJ41" i="4"/>
  <c r="BI41" i="4"/>
  <c r="BH41" i="4"/>
  <c r="BG41" i="4"/>
  <c r="BF41" i="4"/>
  <c r="AM41" i="4"/>
  <c r="AL41" i="4"/>
  <c r="AK41" i="4"/>
  <c r="AJ41" i="4"/>
  <c r="AI41" i="4"/>
  <c r="E41" i="4"/>
  <c r="D41" i="4"/>
  <c r="DW40" i="4"/>
  <c r="DV40" i="4"/>
  <c r="DU40" i="4"/>
  <c r="DT40" i="4"/>
  <c r="DS40" i="4"/>
  <c r="CZ40" i="4"/>
  <c r="CY40" i="4"/>
  <c r="CX40" i="4"/>
  <c r="CW40" i="4"/>
  <c r="CV40" i="4"/>
  <c r="BR40" i="4"/>
  <c r="BQ40" i="4"/>
  <c r="BJ40" i="4"/>
  <c r="BI40" i="4"/>
  <c r="BH40" i="4"/>
  <c r="BG40" i="4"/>
  <c r="BF40" i="4"/>
  <c r="AM40" i="4"/>
  <c r="AL40" i="4"/>
  <c r="AK40" i="4"/>
  <c r="AJ40" i="4"/>
  <c r="AI40" i="4"/>
  <c r="E40" i="4"/>
  <c r="D40" i="4"/>
  <c r="DW39" i="4"/>
  <c r="DV39" i="4"/>
  <c r="DU39" i="4"/>
  <c r="DT39" i="4"/>
  <c r="DS39" i="4"/>
  <c r="CZ39" i="4"/>
  <c r="CY39" i="4"/>
  <c r="CX39" i="4"/>
  <c r="CW39" i="4"/>
  <c r="CV39" i="4"/>
  <c r="BR39" i="4"/>
  <c r="BQ39" i="4"/>
  <c r="BJ39" i="4"/>
  <c r="BI39" i="4"/>
  <c r="BH39" i="4"/>
  <c r="BG39" i="4"/>
  <c r="BF39" i="4"/>
  <c r="AM39" i="4"/>
  <c r="AL39" i="4"/>
  <c r="AK39" i="4"/>
  <c r="AJ39" i="4"/>
  <c r="AI39" i="4"/>
  <c r="E39" i="4"/>
  <c r="D39" i="4"/>
  <c r="DW38" i="4"/>
  <c r="DV38" i="4"/>
  <c r="DU38" i="4"/>
  <c r="DT38" i="4"/>
  <c r="DS38" i="4"/>
  <c r="CZ38" i="4"/>
  <c r="CY38" i="4"/>
  <c r="CX38" i="4"/>
  <c r="CW38" i="4"/>
  <c r="CV38" i="4"/>
  <c r="BR38" i="4"/>
  <c r="BQ38" i="4"/>
  <c r="BJ38" i="4"/>
  <c r="BI38" i="4"/>
  <c r="BH38" i="4"/>
  <c r="BG38" i="4"/>
  <c r="BF38" i="4"/>
  <c r="AM38" i="4"/>
  <c r="AL38" i="4"/>
  <c r="AK38" i="4"/>
  <c r="AJ38" i="4"/>
  <c r="AI38" i="4"/>
  <c r="E38" i="4"/>
  <c r="D38" i="4"/>
  <c r="DW37" i="4"/>
  <c r="DV37" i="4"/>
  <c r="DU37" i="4"/>
  <c r="DT37" i="4"/>
  <c r="DS37" i="4"/>
  <c r="CZ37" i="4"/>
  <c r="CY37" i="4"/>
  <c r="CX37" i="4"/>
  <c r="CW37" i="4"/>
  <c r="CV37" i="4"/>
  <c r="BR37" i="4"/>
  <c r="BQ37" i="4"/>
  <c r="BJ37" i="4"/>
  <c r="BI37" i="4"/>
  <c r="BH37" i="4"/>
  <c r="BG37" i="4"/>
  <c r="BF37" i="4"/>
  <c r="AM37" i="4"/>
  <c r="AL37" i="4"/>
  <c r="AK37" i="4"/>
  <c r="AJ37" i="4"/>
  <c r="AI37" i="4"/>
  <c r="E37" i="4"/>
  <c r="D37" i="4"/>
  <c r="DW36" i="4"/>
  <c r="DV36" i="4"/>
  <c r="DU36" i="4"/>
  <c r="DT36" i="4"/>
  <c r="DS36" i="4"/>
  <c r="CZ36" i="4"/>
  <c r="CY36" i="4"/>
  <c r="CX36" i="4"/>
  <c r="CW36" i="4"/>
  <c r="CV36" i="4"/>
  <c r="BR36" i="4"/>
  <c r="BQ36" i="4"/>
  <c r="BJ36" i="4"/>
  <c r="BI36" i="4"/>
  <c r="BH36" i="4"/>
  <c r="BG36" i="4"/>
  <c r="BF36" i="4"/>
  <c r="AM36" i="4"/>
  <c r="AL36" i="4"/>
  <c r="AK36" i="4"/>
  <c r="AJ36" i="4"/>
  <c r="AI36" i="4"/>
  <c r="E36" i="4"/>
  <c r="D36" i="4"/>
  <c r="DW35" i="4"/>
  <c r="DV35" i="4"/>
  <c r="DU35" i="4"/>
  <c r="DT35" i="4"/>
  <c r="DS35" i="4"/>
  <c r="CZ35" i="4"/>
  <c r="CY35" i="4"/>
  <c r="CX35" i="4"/>
  <c r="CW35" i="4"/>
  <c r="CV35" i="4"/>
  <c r="BR35" i="4"/>
  <c r="BQ35" i="4"/>
  <c r="BJ35" i="4"/>
  <c r="BI35" i="4"/>
  <c r="BH35" i="4"/>
  <c r="BG35" i="4"/>
  <c r="BF35" i="4"/>
  <c r="AM35" i="4"/>
  <c r="AL35" i="4"/>
  <c r="AK35" i="4"/>
  <c r="AJ35" i="4"/>
  <c r="AI35" i="4"/>
  <c r="E35" i="4"/>
  <c r="D35" i="4"/>
  <c r="DW34" i="4"/>
  <c r="DV34" i="4"/>
  <c r="DU34" i="4"/>
  <c r="DT34" i="4"/>
  <c r="DS34" i="4"/>
  <c r="CZ34" i="4"/>
  <c r="CY34" i="4"/>
  <c r="CX34" i="4"/>
  <c r="CW34" i="4"/>
  <c r="CV34" i="4"/>
  <c r="BR34" i="4"/>
  <c r="BQ34" i="4"/>
  <c r="BJ34" i="4"/>
  <c r="BI34" i="4"/>
  <c r="BH34" i="4"/>
  <c r="BG34" i="4"/>
  <c r="BF34" i="4"/>
  <c r="AM34" i="4"/>
  <c r="AL34" i="4"/>
  <c r="AK34" i="4"/>
  <c r="AJ34" i="4"/>
  <c r="AI34" i="4"/>
  <c r="E34" i="4"/>
  <c r="D34" i="4"/>
  <c r="DW33" i="4"/>
  <c r="DV33" i="4"/>
  <c r="DU33" i="4"/>
  <c r="DT33" i="4"/>
  <c r="DS33" i="4"/>
  <c r="CZ33" i="4"/>
  <c r="CY33" i="4"/>
  <c r="CX33" i="4"/>
  <c r="CW33" i="4"/>
  <c r="CV33" i="4"/>
  <c r="BR33" i="4"/>
  <c r="BQ33" i="4"/>
  <c r="BJ33" i="4"/>
  <c r="BI33" i="4"/>
  <c r="BH33" i="4"/>
  <c r="BG33" i="4"/>
  <c r="BF33" i="4"/>
  <c r="AM33" i="4"/>
  <c r="AL33" i="4"/>
  <c r="AK33" i="4"/>
  <c r="AJ33" i="4"/>
  <c r="AI33" i="4"/>
  <c r="E33" i="4"/>
  <c r="D33" i="4"/>
  <c r="DW32" i="4"/>
  <c r="DV32" i="4"/>
  <c r="DU32" i="4"/>
  <c r="DT32" i="4"/>
  <c r="DS32" i="4"/>
  <c r="CZ32" i="4"/>
  <c r="CY32" i="4"/>
  <c r="CX32" i="4"/>
  <c r="CW32" i="4"/>
  <c r="CV32" i="4"/>
  <c r="BR32" i="4"/>
  <c r="BQ32" i="4"/>
  <c r="BJ32" i="4"/>
  <c r="BI32" i="4"/>
  <c r="BH32" i="4"/>
  <c r="BG32" i="4"/>
  <c r="BF32" i="4"/>
  <c r="AM32" i="4"/>
  <c r="AL32" i="4"/>
  <c r="AK32" i="4"/>
  <c r="AJ32" i="4"/>
  <c r="AI32" i="4"/>
  <c r="E32" i="4"/>
  <c r="D32" i="4"/>
  <c r="DW31" i="4"/>
  <c r="DV31" i="4"/>
  <c r="DU31" i="4"/>
  <c r="DT31" i="4"/>
  <c r="DS31" i="4"/>
  <c r="CZ31" i="4"/>
  <c r="CY31" i="4"/>
  <c r="CX31" i="4"/>
  <c r="CW31" i="4"/>
  <c r="CV31" i="4"/>
  <c r="BR31" i="4"/>
  <c r="BQ31" i="4"/>
  <c r="BJ31" i="4"/>
  <c r="BI31" i="4"/>
  <c r="BH31" i="4"/>
  <c r="BG31" i="4"/>
  <c r="BF31" i="4"/>
  <c r="AM31" i="4"/>
  <c r="AL31" i="4"/>
  <c r="AK31" i="4"/>
  <c r="AJ31" i="4"/>
  <c r="AI31" i="4"/>
  <c r="E31" i="4"/>
  <c r="D31" i="4"/>
  <c r="DW30" i="4"/>
  <c r="DV30" i="4"/>
  <c r="DU30" i="4"/>
  <c r="DT30" i="4"/>
  <c r="DS30" i="4"/>
  <c r="CZ30" i="4"/>
  <c r="CY30" i="4"/>
  <c r="CX30" i="4"/>
  <c r="CW30" i="4"/>
  <c r="CV30" i="4"/>
  <c r="BR30" i="4"/>
  <c r="BQ30" i="4"/>
  <c r="BJ30" i="4"/>
  <c r="BI30" i="4"/>
  <c r="BH30" i="4"/>
  <c r="BG30" i="4"/>
  <c r="BF30" i="4"/>
  <c r="AM30" i="4"/>
  <c r="AL30" i="4"/>
  <c r="AK30" i="4"/>
  <c r="AJ30" i="4"/>
  <c r="AI30" i="4"/>
  <c r="E30" i="4"/>
  <c r="D30" i="4"/>
  <c r="DW29" i="4"/>
  <c r="DV29" i="4"/>
  <c r="DU29" i="4"/>
  <c r="DT29" i="4"/>
  <c r="DS29" i="4"/>
  <c r="CZ29" i="4"/>
  <c r="CY29" i="4"/>
  <c r="CX29" i="4"/>
  <c r="CW29" i="4"/>
  <c r="CV29" i="4"/>
  <c r="BR29" i="4"/>
  <c r="BQ29" i="4"/>
  <c r="BJ29" i="4"/>
  <c r="BI29" i="4"/>
  <c r="BH29" i="4"/>
  <c r="BG29" i="4"/>
  <c r="BF29" i="4"/>
  <c r="AM29" i="4"/>
  <c r="AL29" i="4"/>
  <c r="AK29" i="4"/>
  <c r="AJ29" i="4"/>
  <c r="AI29" i="4"/>
  <c r="E29" i="4"/>
  <c r="D29" i="4"/>
  <c r="D26" i="47" s="1"/>
  <c r="DW28" i="4"/>
  <c r="DV28" i="4"/>
  <c r="DU28" i="4"/>
  <c r="DT28" i="4"/>
  <c r="DS28" i="4"/>
  <c r="CZ28" i="4"/>
  <c r="CY28" i="4"/>
  <c r="CX28" i="4"/>
  <c r="CW28" i="4"/>
  <c r="CV28" i="4"/>
  <c r="BR28" i="4"/>
  <c r="BQ28" i="4"/>
  <c r="BJ28" i="4"/>
  <c r="BI28" i="4"/>
  <c r="BH28" i="4"/>
  <c r="BG28" i="4"/>
  <c r="BF28" i="4"/>
  <c r="AM28" i="4"/>
  <c r="AL28" i="4"/>
  <c r="AK28" i="4"/>
  <c r="AJ28" i="4"/>
  <c r="AI28" i="4"/>
  <c r="E28" i="4"/>
  <c r="D28" i="4"/>
  <c r="D25" i="47" s="1"/>
  <c r="DW27" i="4"/>
  <c r="DV27" i="4"/>
  <c r="DU27" i="4"/>
  <c r="DT27" i="4"/>
  <c r="DS27" i="4"/>
  <c r="CZ27" i="4"/>
  <c r="CY27" i="4"/>
  <c r="CX27" i="4"/>
  <c r="CW27" i="4"/>
  <c r="CV27" i="4"/>
  <c r="BR27" i="4"/>
  <c r="BQ27" i="4"/>
  <c r="BJ27" i="4"/>
  <c r="BI27" i="4"/>
  <c r="BH27" i="4"/>
  <c r="BG27" i="4"/>
  <c r="BF27" i="4"/>
  <c r="AM27" i="4"/>
  <c r="AL27" i="4"/>
  <c r="AK27" i="4"/>
  <c r="AJ27" i="4"/>
  <c r="AI27" i="4"/>
  <c r="E27" i="4"/>
  <c r="D27" i="4"/>
  <c r="DW26" i="4"/>
  <c r="DV26" i="4"/>
  <c r="DU26" i="4"/>
  <c r="DT26" i="4"/>
  <c r="DS26" i="4"/>
  <c r="CZ26" i="4"/>
  <c r="CY26" i="4"/>
  <c r="CX26" i="4"/>
  <c r="CW26" i="4"/>
  <c r="CV26" i="4"/>
  <c r="BR26" i="4"/>
  <c r="BQ26" i="4"/>
  <c r="BJ26" i="4"/>
  <c r="BI26" i="4"/>
  <c r="BH26" i="4"/>
  <c r="BG26" i="4"/>
  <c r="BF26" i="4"/>
  <c r="AM26" i="4"/>
  <c r="AL26" i="4"/>
  <c r="AK26" i="4"/>
  <c r="AJ26" i="4"/>
  <c r="AI26" i="4"/>
  <c r="E26" i="4"/>
  <c r="D26" i="4"/>
  <c r="DW25" i="4"/>
  <c r="DV25" i="4"/>
  <c r="DU25" i="4"/>
  <c r="DT25" i="4"/>
  <c r="DS25" i="4"/>
  <c r="CZ25" i="4"/>
  <c r="CY25" i="4"/>
  <c r="CX25" i="4"/>
  <c r="CW25" i="4"/>
  <c r="CV25" i="4"/>
  <c r="BR25" i="4"/>
  <c r="BQ25" i="4"/>
  <c r="BJ25" i="4"/>
  <c r="BI25" i="4"/>
  <c r="BH25" i="4"/>
  <c r="BG25" i="4"/>
  <c r="BF25" i="4"/>
  <c r="AM25" i="4"/>
  <c r="AL25" i="4"/>
  <c r="AK25" i="4"/>
  <c r="AJ25" i="4"/>
  <c r="AI25" i="4"/>
  <c r="E25" i="4"/>
  <c r="D25" i="4"/>
  <c r="DW24" i="4"/>
  <c r="DV24" i="4"/>
  <c r="DU24" i="4"/>
  <c r="DT24" i="4"/>
  <c r="DS24" i="4"/>
  <c r="CZ24" i="4"/>
  <c r="CY24" i="4"/>
  <c r="CX24" i="4"/>
  <c r="CW24" i="4"/>
  <c r="CV24" i="4"/>
  <c r="BR24" i="4"/>
  <c r="BQ24" i="4"/>
  <c r="BJ24" i="4"/>
  <c r="BI24" i="4"/>
  <c r="BH24" i="4"/>
  <c r="BG24" i="4"/>
  <c r="BF24" i="4"/>
  <c r="AM24" i="4"/>
  <c r="AL24" i="4"/>
  <c r="AK24" i="4"/>
  <c r="AJ24" i="4"/>
  <c r="AI24" i="4"/>
  <c r="E24" i="4"/>
  <c r="D24" i="4"/>
  <c r="DW23" i="4"/>
  <c r="DV23" i="4"/>
  <c r="DU23" i="4"/>
  <c r="DT23" i="4"/>
  <c r="DS23" i="4"/>
  <c r="CZ23" i="4"/>
  <c r="CY23" i="4"/>
  <c r="CX23" i="4"/>
  <c r="CW23" i="4"/>
  <c r="CV23" i="4"/>
  <c r="BR23" i="4"/>
  <c r="BQ23" i="4"/>
  <c r="BJ23" i="4"/>
  <c r="BI23" i="4"/>
  <c r="BH23" i="4"/>
  <c r="BG23" i="4"/>
  <c r="BF23" i="4"/>
  <c r="AM23" i="4"/>
  <c r="AL23" i="4"/>
  <c r="AK23" i="4"/>
  <c r="AJ23" i="4"/>
  <c r="AI23" i="4"/>
  <c r="E23" i="4"/>
  <c r="D23" i="4"/>
  <c r="DW22" i="4"/>
  <c r="DV22" i="4"/>
  <c r="DU22" i="4"/>
  <c r="DT22" i="4"/>
  <c r="DS22" i="4"/>
  <c r="CZ22" i="4"/>
  <c r="CY22" i="4"/>
  <c r="CX22" i="4"/>
  <c r="CW22" i="4"/>
  <c r="CV22" i="4"/>
  <c r="BR22" i="4"/>
  <c r="BQ22" i="4"/>
  <c r="BJ22" i="4"/>
  <c r="BI22" i="4"/>
  <c r="BH22" i="4"/>
  <c r="BG22" i="4"/>
  <c r="BF22" i="4"/>
  <c r="AM22" i="4"/>
  <c r="AL22" i="4"/>
  <c r="AK22" i="4"/>
  <c r="AJ22" i="4"/>
  <c r="AI22" i="4"/>
  <c r="E22" i="4"/>
  <c r="D22" i="4"/>
  <c r="DW21" i="4"/>
  <c r="DV21" i="4"/>
  <c r="DU21" i="4"/>
  <c r="DT21" i="4"/>
  <c r="DS21" i="4"/>
  <c r="CZ21" i="4"/>
  <c r="CY21" i="4"/>
  <c r="CX21" i="4"/>
  <c r="CW21" i="4"/>
  <c r="CV21" i="4"/>
  <c r="BR21" i="4"/>
  <c r="BQ21" i="4"/>
  <c r="BJ21" i="4"/>
  <c r="BI21" i="4"/>
  <c r="BH21" i="4"/>
  <c r="BG21" i="4"/>
  <c r="BF21" i="4"/>
  <c r="AM21" i="4"/>
  <c r="AL21" i="4"/>
  <c r="AK21" i="4"/>
  <c r="AJ21" i="4"/>
  <c r="AI21" i="4"/>
  <c r="E21" i="4"/>
  <c r="D21" i="4"/>
  <c r="DW20" i="4"/>
  <c r="DV20" i="4"/>
  <c r="DU20" i="4"/>
  <c r="DT20" i="4"/>
  <c r="DS20" i="4"/>
  <c r="CZ20" i="4"/>
  <c r="CY20" i="4"/>
  <c r="CX20" i="4"/>
  <c r="CW20" i="4"/>
  <c r="CV20" i="4"/>
  <c r="BR20" i="4"/>
  <c r="BQ20" i="4"/>
  <c r="BJ20" i="4"/>
  <c r="BI20" i="4"/>
  <c r="BH20" i="4"/>
  <c r="BG20" i="4"/>
  <c r="BF20" i="4"/>
  <c r="AM20" i="4"/>
  <c r="AL20" i="4"/>
  <c r="AK20" i="4"/>
  <c r="AJ20" i="4"/>
  <c r="AI20" i="4"/>
  <c r="E20" i="4"/>
  <c r="D20" i="4"/>
  <c r="DW19" i="4"/>
  <c r="DV19" i="4"/>
  <c r="DU19" i="4"/>
  <c r="DT19" i="4"/>
  <c r="DS19" i="4"/>
  <c r="CZ19" i="4"/>
  <c r="CY19" i="4"/>
  <c r="CX19" i="4"/>
  <c r="CW19" i="4"/>
  <c r="CV19" i="4"/>
  <c r="BR19" i="4"/>
  <c r="BQ19" i="4"/>
  <c r="BJ19" i="4"/>
  <c r="BI19" i="4"/>
  <c r="BH19" i="4"/>
  <c r="BG19" i="4"/>
  <c r="BF19" i="4"/>
  <c r="AM19" i="4"/>
  <c r="AL19" i="4"/>
  <c r="AK19" i="4"/>
  <c r="AJ19" i="4"/>
  <c r="AI19" i="4"/>
  <c r="E19" i="4"/>
  <c r="D19" i="4"/>
  <c r="DW18" i="4"/>
  <c r="DV18" i="4"/>
  <c r="DU18" i="4"/>
  <c r="DT18" i="4"/>
  <c r="DS18" i="4"/>
  <c r="CZ18" i="4"/>
  <c r="CY18" i="4"/>
  <c r="CX18" i="4"/>
  <c r="CW18" i="4"/>
  <c r="CV18" i="4"/>
  <c r="BR18" i="4"/>
  <c r="BQ18" i="4"/>
  <c r="BJ18" i="4"/>
  <c r="BI18" i="4"/>
  <c r="BH18" i="4"/>
  <c r="BG18" i="4"/>
  <c r="BF18" i="4"/>
  <c r="AM18" i="4"/>
  <c r="AL18" i="4"/>
  <c r="AK18" i="4"/>
  <c r="AJ18" i="4"/>
  <c r="AI18" i="4"/>
  <c r="E18" i="4"/>
  <c r="D18" i="4"/>
  <c r="DW17" i="4"/>
  <c r="DV17" i="4"/>
  <c r="DU17" i="4"/>
  <c r="DT17" i="4"/>
  <c r="DS17" i="4"/>
  <c r="CZ17" i="4"/>
  <c r="CY17" i="4"/>
  <c r="CX17" i="4"/>
  <c r="CW17" i="4"/>
  <c r="CV17" i="4"/>
  <c r="BR17" i="4"/>
  <c r="BQ17" i="4"/>
  <c r="BJ17" i="4"/>
  <c r="BI17" i="4"/>
  <c r="BH17" i="4"/>
  <c r="BG17" i="4"/>
  <c r="BF17" i="4"/>
  <c r="AM17" i="4"/>
  <c r="AL17" i="4"/>
  <c r="AK17" i="4"/>
  <c r="AJ17" i="4"/>
  <c r="AI17" i="4"/>
  <c r="E17" i="4"/>
  <c r="D17" i="4"/>
  <c r="DW16" i="4"/>
  <c r="DV16" i="4"/>
  <c r="DU16" i="4"/>
  <c r="DT16" i="4"/>
  <c r="DS16" i="4"/>
  <c r="CZ16" i="4"/>
  <c r="CY16" i="4"/>
  <c r="CX16" i="4"/>
  <c r="CW16" i="4"/>
  <c r="CV16" i="4"/>
  <c r="BR16" i="4"/>
  <c r="BQ16" i="4"/>
  <c r="BJ16" i="4"/>
  <c r="BI16" i="4"/>
  <c r="BH16" i="4"/>
  <c r="BG16" i="4"/>
  <c r="BF16" i="4"/>
  <c r="AM16" i="4"/>
  <c r="AL16" i="4"/>
  <c r="AK16" i="4"/>
  <c r="AJ16" i="4"/>
  <c r="AI16" i="4"/>
  <c r="E16" i="4"/>
  <c r="D16" i="4"/>
  <c r="DW15" i="4"/>
  <c r="DV15" i="4"/>
  <c r="DU15" i="4"/>
  <c r="DT15" i="4"/>
  <c r="DS15" i="4"/>
  <c r="CZ15" i="4"/>
  <c r="CY15" i="4"/>
  <c r="CX15" i="4"/>
  <c r="CW15" i="4"/>
  <c r="CV15" i="4"/>
  <c r="BR15" i="4"/>
  <c r="BQ15" i="4"/>
  <c r="BJ15" i="4"/>
  <c r="BI15" i="4"/>
  <c r="BH15" i="4"/>
  <c r="BG15" i="4"/>
  <c r="BF15" i="4"/>
  <c r="AM15" i="4"/>
  <c r="AL15" i="4"/>
  <c r="AK15" i="4"/>
  <c r="AJ15" i="4"/>
  <c r="AI15" i="4"/>
  <c r="E15" i="4"/>
  <c r="D15" i="4"/>
  <c r="DW14" i="4"/>
  <c r="DV14" i="4"/>
  <c r="DU14" i="4"/>
  <c r="DT14" i="4"/>
  <c r="DS14" i="4"/>
  <c r="CZ14" i="4"/>
  <c r="CY14" i="4"/>
  <c r="CX14" i="4"/>
  <c r="CW14" i="4"/>
  <c r="CV14" i="4"/>
  <c r="BR14" i="4"/>
  <c r="BQ14" i="4"/>
  <c r="BJ14" i="4"/>
  <c r="BI14" i="4"/>
  <c r="BH14" i="4"/>
  <c r="BG14" i="4"/>
  <c r="BF14" i="4"/>
  <c r="AM14" i="4"/>
  <c r="AL14" i="4"/>
  <c r="AK14" i="4"/>
  <c r="AJ14" i="4"/>
  <c r="AI14" i="4"/>
  <c r="E14" i="4"/>
  <c r="D14" i="4"/>
  <c r="DW13" i="4"/>
  <c r="DV13" i="4"/>
  <c r="DU13" i="4"/>
  <c r="DT13" i="4"/>
  <c r="DS13" i="4"/>
  <c r="CZ13" i="4"/>
  <c r="CY13" i="4"/>
  <c r="CX13" i="4"/>
  <c r="CW13" i="4"/>
  <c r="CV13" i="4"/>
  <c r="BR13" i="4"/>
  <c r="BQ13" i="4"/>
  <c r="BJ13" i="4"/>
  <c r="BI13" i="4"/>
  <c r="BH13" i="4"/>
  <c r="BG13" i="4"/>
  <c r="BF13" i="4"/>
  <c r="AM13" i="4"/>
  <c r="AL13" i="4"/>
  <c r="AK13" i="4"/>
  <c r="AJ13" i="4"/>
  <c r="AI13" i="4"/>
  <c r="E13" i="4"/>
  <c r="D13" i="4"/>
  <c r="DW12" i="4"/>
  <c r="DV12" i="4"/>
  <c r="DU12" i="4"/>
  <c r="DT12" i="4"/>
  <c r="DS12" i="4"/>
  <c r="CZ12" i="4"/>
  <c r="CY12" i="4"/>
  <c r="CX12" i="4"/>
  <c r="CW12" i="4"/>
  <c r="CV12" i="4"/>
  <c r="BR12" i="4"/>
  <c r="BQ12" i="4"/>
  <c r="BJ12" i="4"/>
  <c r="BI12" i="4"/>
  <c r="BH12" i="4"/>
  <c r="BG12" i="4"/>
  <c r="BF12" i="4"/>
  <c r="AM12" i="4"/>
  <c r="AL12" i="4"/>
  <c r="AK12" i="4"/>
  <c r="AJ12" i="4"/>
  <c r="AI12" i="4"/>
  <c r="E12" i="4"/>
  <c r="D12" i="4"/>
  <c r="DW11" i="4"/>
  <c r="DV11" i="4"/>
  <c r="DU11" i="4"/>
  <c r="DT11" i="4"/>
  <c r="DS11" i="4"/>
  <c r="CZ11" i="4"/>
  <c r="CY11" i="4"/>
  <c r="CX11" i="4"/>
  <c r="CW11" i="4"/>
  <c r="CV11" i="4"/>
  <c r="BR11" i="4"/>
  <c r="BQ11" i="4"/>
  <c r="BJ11" i="4"/>
  <c r="BI11" i="4"/>
  <c r="BH11" i="4"/>
  <c r="BG11" i="4"/>
  <c r="BF11" i="4"/>
  <c r="AM11" i="4"/>
  <c r="AL11" i="4"/>
  <c r="AK11" i="4"/>
  <c r="AJ11" i="4"/>
  <c r="AI11" i="4"/>
  <c r="E11" i="4"/>
  <c r="D11" i="4"/>
  <c r="DW10" i="4"/>
  <c r="DV10" i="4"/>
  <c r="DU10" i="4"/>
  <c r="DT10" i="4"/>
  <c r="DS10" i="4"/>
  <c r="CZ10" i="4"/>
  <c r="CY10" i="4"/>
  <c r="CX10" i="4"/>
  <c r="CW10" i="4"/>
  <c r="CV10" i="4"/>
  <c r="BR10" i="4"/>
  <c r="BQ10" i="4"/>
  <c r="BJ10" i="4"/>
  <c r="BI10" i="4"/>
  <c r="BH10" i="4"/>
  <c r="BG10" i="4"/>
  <c r="BF10" i="4"/>
  <c r="AM10" i="4"/>
  <c r="AL10" i="4"/>
  <c r="AK10" i="4"/>
  <c r="AJ10" i="4"/>
  <c r="AI10" i="4"/>
  <c r="E10" i="4"/>
  <c r="D10" i="4"/>
  <c r="DW9" i="4"/>
  <c r="DV9" i="4"/>
  <c r="DU9" i="4"/>
  <c r="DT9" i="4"/>
  <c r="DS9" i="4"/>
  <c r="CZ9" i="4"/>
  <c r="CY9" i="4"/>
  <c r="CX9" i="4"/>
  <c r="CW9" i="4"/>
  <c r="CV9" i="4"/>
  <c r="BR9" i="4"/>
  <c r="BQ9" i="4"/>
  <c r="BJ9" i="4"/>
  <c r="BI9" i="4"/>
  <c r="BH9" i="4"/>
  <c r="BG9" i="4"/>
  <c r="BF9" i="4"/>
  <c r="AM9" i="4"/>
  <c r="AL9" i="4"/>
  <c r="AK9" i="4"/>
  <c r="AJ9" i="4"/>
  <c r="AI9" i="4"/>
  <c r="E9" i="4"/>
  <c r="D9" i="4"/>
  <c r="DW8" i="4"/>
  <c r="DV8" i="4"/>
  <c r="DU8" i="4"/>
  <c r="DT8" i="4"/>
  <c r="DS8" i="4"/>
  <c r="CZ8" i="4"/>
  <c r="CY8" i="4"/>
  <c r="CX8" i="4"/>
  <c r="CW8" i="4"/>
  <c r="CV8" i="4"/>
  <c r="BR8" i="4"/>
  <c r="BQ8" i="4"/>
  <c r="BJ8" i="4"/>
  <c r="BI8" i="4"/>
  <c r="BH8" i="4"/>
  <c r="BG8" i="4"/>
  <c r="BF8" i="4"/>
  <c r="AM8" i="4"/>
  <c r="AL8" i="4"/>
  <c r="AK8" i="4"/>
  <c r="AJ8" i="4"/>
  <c r="AI8" i="4"/>
  <c r="E8" i="4"/>
  <c r="D8" i="4"/>
  <c r="DW7" i="4"/>
  <c r="DV7" i="4"/>
  <c r="DU7" i="4"/>
  <c r="DT7" i="4"/>
  <c r="DS7" i="4"/>
  <c r="CZ7" i="4"/>
  <c r="CY7" i="4"/>
  <c r="CX7" i="4"/>
  <c r="CW7" i="4"/>
  <c r="CV7" i="4"/>
  <c r="BR7" i="4"/>
  <c r="BQ7" i="4"/>
  <c r="BJ7" i="4"/>
  <c r="BI7" i="4"/>
  <c r="BH7" i="4"/>
  <c r="BG7" i="4"/>
  <c r="BF7" i="4"/>
  <c r="AM7" i="4"/>
  <c r="AL7" i="4"/>
  <c r="AK7" i="4"/>
  <c r="AJ7" i="4"/>
  <c r="AI7" i="4"/>
  <c r="E7" i="4"/>
  <c r="D7" i="4"/>
  <c r="DW6" i="4"/>
  <c r="DV6" i="4"/>
  <c r="DU6" i="4"/>
  <c r="DT6" i="4"/>
  <c r="DS6" i="4"/>
  <c r="CZ6" i="4"/>
  <c r="CY6" i="4"/>
  <c r="CX6" i="4"/>
  <c r="CW6" i="4"/>
  <c r="CV6" i="4"/>
  <c r="BR6" i="4"/>
  <c r="BQ6" i="4"/>
  <c r="BJ6" i="4"/>
  <c r="BI6" i="4"/>
  <c r="BH6" i="4"/>
  <c r="BG6" i="4"/>
  <c r="BF6" i="4"/>
  <c r="AM6" i="4"/>
  <c r="AL6" i="4"/>
  <c r="AK6" i="4"/>
  <c r="AJ6" i="4"/>
  <c r="AI6" i="4"/>
  <c r="E6" i="4"/>
  <c r="D6" i="4"/>
  <c r="DW5" i="4"/>
  <c r="DV5" i="4"/>
  <c r="DU5" i="4"/>
  <c r="DT5" i="4"/>
  <c r="DS5" i="4"/>
  <c r="CZ5" i="4"/>
  <c r="CY5" i="4"/>
  <c r="CX5" i="4"/>
  <c r="CW5" i="4"/>
  <c r="CV5" i="4"/>
  <c r="BR5" i="4"/>
  <c r="BQ5" i="4"/>
  <c r="BJ5" i="4"/>
  <c r="BI5" i="4"/>
  <c r="BH5" i="4"/>
  <c r="BG5" i="4"/>
  <c r="BF5" i="4"/>
  <c r="AM5" i="4"/>
  <c r="AL5" i="4"/>
  <c r="AK5" i="4"/>
  <c r="AJ5" i="4"/>
  <c r="AI5" i="4"/>
  <c r="E5" i="4"/>
  <c r="D5" i="4"/>
  <c r="DW4" i="4"/>
  <c r="DV4" i="4"/>
  <c r="DU4" i="4"/>
  <c r="DT4" i="4"/>
  <c r="DS4" i="4"/>
  <c r="CZ4" i="4"/>
  <c r="CY4" i="4"/>
  <c r="CX4" i="4"/>
  <c r="CW4" i="4"/>
  <c r="CV4" i="4"/>
  <c r="BR4" i="4"/>
  <c r="BQ4" i="4"/>
  <c r="BJ4" i="4"/>
  <c r="BI4" i="4"/>
  <c r="BH4" i="4"/>
  <c r="BG4" i="4"/>
  <c r="BF4" i="4"/>
  <c r="AM4" i="4"/>
  <c r="AL4" i="4"/>
  <c r="AK4" i="4"/>
  <c r="AJ4" i="4"/>
  <c r="AI4" i="4"/>
  <c r="E4" i="4"/>
  <c r="D4" i="4"/>
  <c r="D11" i="48" l="1"/>
  <c r="E11" i="48" s="1"/>
  <c r="D38" i="48"/>
  <c r="E38" i="48" s="1"/>
  <c r="D46" i="48"/>
  <c r="E46" i="48" s="1"/>
  <c r="D10" i="48"/>
  <c r="E10" i="48" s="1"/>
  <c r="D43" i="48"/>
  <c r="E43" i="48" s="1"/>
  <c r="D33" i="48"/>
  <c r="E33" i="48" s="1"/>
  <c r="D18" i="48"/>
  <c r="E18" i="48" s="1"/>
  <c r="D35" i="48"/>
  <c r="E35" i="48" s="1"/>
  <c r="D44" i="48"/>
  <c r="E44" i="48" s="1"/>
  <c r="D23" i="48"/>
  <c r="E23" i="48" s="1"/>
  <c r="D36" i="48"/>
  <c r="E36" i="48" s="1"/>
  <c r="D37" i="48"/>
  <c r="E37" i="48" s="1"/>
  <c r="D39" i="48"/>
  <c r="E39" i="48" s="1"/>
  <c r="D22" i="48"/>
  <c r="E22" i="48" s="1"/>
  <c r="D40" i="48"/>
  <c r="E40" i="48" s="1"/>
  <c r="D42" i="48"/>
  <c r="E42" i="48" s="1"/>
  <c r="D8" i="48"/>
  <c r="E8" i="48" s="1"/>
  <c r="D16" i="48"/>
  <c r="E16" i="48" s="1"/>
  <c r="D19" i="48"/>
  <c r="E19" i="48" s="1"/>
  <c r="D20" i="48"/>
  <c r="E20" i="48" s="1"/>
  <c r="D9" i="48"/>
  <c r="E9" i="48" s="1"/>
  <c r="D15" i="48"/>
  <c r="E15" i="48" s="1"/>
  <c r="D24" i="48"/>
  <c r="E24" i="48" s="1"/>
  <c r="D25" i="48"/>
  <c r="E25" i="48" s="1"/>
  <c r="D13" i="48"/>
  <c r="E13" i="48" s="1"/>
  <c r="D17" i="48"/>
  <c r="E17" i="48" s="1"/>
  <c r="D21" i="48"/>
  <c r="E21" i="48" s="1"/>
  <c r="D26" i="48"/>
  <c r="E26" i="48" s="1"/>
  <c r="D34" i="48"/>
  <c r="E34" i="48" s="1"/>
  <c r="D41" i="48"/>
  <c r="E41" i="48" s="1"/>
  <c r="D45" i="48"/>
  <c r="E45" i="48" s="1"/>
  <c r="D12" i="48"/>
  <c r="E12" i="48" s="1"/>
  <c r="D14" i="48"/>
  <c r="E14" i="48" s="1"/>
  <c r="D9" i="19"/>
  <c r="D7" i="47"/>
  <c r="E7" i="47" s="1"/>
  <c r="D11" i="19"/>
  <c r="D9" i="47"/>
  <c r="E9" i="47" s="1"/>
  <c r="D12" i="19"/>
  <c r="D10" i="47"/>
  <c r="E10" i="47" s="1"/>
  <c r="D15" i="19"/>
  <c r="D13" i="47"/>
  <c r="E13" i="47" s="1"/>
  <c r="D17" i="19"/>
  <c r="D15" i="47"/>
  <c r="E15" i="47" s="1"/>
  <c r="D19" i="19"/>
  <c r="D17" i="47"/>
  <c r="E17" i="47" s="1"/>
  <c r="D22" i="19"/>
  <c r="D20" i="47"/>
  <c r="E20" i="47" s="1"/>
  <c r="D24" i="19"/>
  <c r="D22" i="47"/>
  <c r="E22" i="47" s="1"/>
  <c r="D32" i="19"/>
  <c r="E26" i="47"/>
  <c r="E32" i="19" s="1"/>
  <c r="D34" i="19"/>
  <c r="D28" i="47"/>
  <c r="E28" i="47" s="1"/>
  <c r="D29" i="47"/>
  <c r="E29" i="47" s="1"/>
  <c r="D35" i="19"/>
  <c r="D36" i="19"/>
  <c r="D30" i="47"/>
  <c r="E30" i="47" s="1"/>
  <c r="D31" i="47"/>
  <c r="E31" i="47" s="1"/>
  <c r="D37" i="19"/>
  <c r="D38" i="19"/>
  <c r="D32" i="47"/>
  <c r="E32" i="47" s="1"/>
  <c r="D33" i="47"/>
  <c r="E33" i="47" s="1"/>
  <c r="D39" i="19"/>
  <c r="D40" i="19"/>
  <c r="D34" i="47"/>
  <c r="E34" i="47" s="1"/>
  <c r="D35" i="47"/>
  <c r="E35" i="47" s="1"/>
  <c r="D41" i="19"/>
  <c r="D42" i="19"/>
  <c r="D36" i="47"/>
  <c r="E36" i="47" s="1"/>
  <c r="D37" i="47"/>
  <c r="E37" i="47" s="1"/>
  <c r="D43" i="19"/>
  <c r="D44" i="19"/>
  <c r="D38" i="47"/>
  <c r="E38" i="47" s="1"/>
  <c r="D39" i="47"/>
  <c r="E39" i="47" s="1"/>
  <c r="D45" i="19"/>
  <c r="D46" i="19"/>
  <c r="D40" i="47"/>
  <c r="E40" i="47" s="1"/>
  <c r="D48" i="19"/>
  <c r="D42" i="47"/>
  <c r="E42" i="47" s="1"/>
  <c r="D49" i="19"/>
  <c r="D43" i="47"/>
  <c r="E43" i="47" s="1"/>
  <c r="D51" i="19"/>
  <c r="D44" i="47"/>
  <c r="E44" i="47" s="1"/>
  <c r="D52" i="19"/>
  <c r="D45" i="47"/>
  <c r="E45" i="47" s="1"/>
  <c r="D54" i="19"/>
  <c r="D46" i="47"/>
  <c r="E46" i="47" s="1"/>
  <c r="D55" i="19"/>
  <c r="D47" i="47"/>
  <c r="E47" i="47" s="1"/>
  <c r="D6" i="47"/>
  <c r="E6" i="47" s="1"/>
  <c r="D8" i="19"/>
  <c r="D10" i="19"/>
  <c r="D8" i="47"/>
  <c r="E8" i="47" s="1"/>
  <c r="D13" i="19"/>
  <c r="D11" i="47"/>
  <c r="E11" i="47" s="1"/>
  <c r="D14" i="19"/>
  <c r="D12" i="47"/>
  <c r="E12" i="47" s="1"/>
  <c r="D16" i="19"/>
  <c r="D14" i="47"/>
  <c r="E14" i="47" s="1"/>
  <c r="D18" i="19"/>
  <c r="D16" i="47"/>
  <c r="E16" i="47" s="1"/>
  <c r="D20" i="19"/>
  <c r="D18" i="47"/>
  <c r="E18" i="47" s="1"/>
  <c r="D21" i="19"/>
  <c r="D19" i="47"/>
  <c r="E19" i="47" s="1"/>
  <c r="D23" i="19"/>
  <c r="D21" i="47"/>
  <c r="E21" i="47" s="1"/>
  <c r="D25" i="19"/>
  <c r="D23" i="47"/>
  <c r="E23" i="47" s="1"/>
  <c r="D26" i="19"/>
  <c r="D24" i="47"/>
  <c r="E24" i="47" s="1"/>
  <c r="D31" i="19"/>
  <c r="E25" i="47"/>
  <c r="E31" i="19" s="1"/>
  <c r="D27" i="47"/>
  <c r="E27" i="47" s="1"/>
  <c r="D33" i="19"/>
  <c r="V2" i="19"/>
  <c r="AP2" i="19" s="1"/>
  <c r="V2" i="20"/>
  <c r="W2" i="36"/>
  <c r="W2" i="37"/>
  <c r="S79" i="40"/>
  <c r="I79" i="40"/>
  <c r="S78" i="40"/>
  <c r="I78" i="40"/>
  <c r="S77" i="40"/>
  <c r="I77" i="40"/>
  <c r="S76" i="40"/>
  <c r="I76" i="40"/>
  <c r="S75" i="40"/>
  <c r="I75" i="40"/>
  <c r="S74" i="40"/>
  <c r="I74" i="40"/>
  <c r="S73" i="40"/>
  <c r="I73" i="40"/>
  <c r="S72" i="40"/>
  <c r="I72" i="40"/>
  <c r="S71" i="40"/>
  <c r="I71" i="40"/>
  <c r="S70" i="40"/>
  <c r="I70" i="40"/>
  <c r="S69" i="40"/>
  <c r="I69" i="40"/>
  <c r="M68" i="40"/>
  <c r="C68" i="40"/>
  <c r="S66" i="40"/>
  <c r="I66" i="40"/>
  <c r="S65" i="40"/>
  <c r="I65" i="40"/>
  <c r="S64" i="40"/>
  <c r="I64" i="40"/>
  <c r="S63" i="40"/>
  <c r="I63" i="40"/>
  <c r="S62" i="40"/>
  <c r="I62" i="40"/>
  <c r="S61" i="40"/>
  <c r="I61" i="40"/>
  <c r="S60" i="40"/>
  <c r="I60" i="40"/>
  <c r="S59" i="40"/>
  <c r="I59" i="40"/>
  <c r="S58" i="40"/>
  <c r="I58" i="40"/>
  <c r="S57" i="40"/>
  <c r="I57" i="40"/>
  <c r="S56" i="40"/>
  <c r="I56" i="40"/>
  <c r="M55" i="40"/>
  <c r="C55" i="40"/>
  <c r="S53" i="40"/>
  <c r="I53" i="40"/>
  <c r="S52" i="40"/>
  <c r="I52" i="40"/>
  <c r="S51" i="40"/>
  <c r="I51" i="40"/>
  <c r="S50" i="40"/>
  <c r="I50" i="40"/>
  <c r="S49" i="40"/>
  <c r="I49" i="40"/>
  <c r="S48" i="40"/>
  <c r="I48" i="40"/>
  <c r="S47" i="40"/>
  <c r="I47" i="40"/>
  <c r="S46" i="40"/>
  <c r="I46" i="40"/>
  <c r="S45" i="40"/>
  <c r="I45" i="40"/>
  <c r="S44" i="40"/>
  <c r="I44" i="40"/>
  <c r="S43" i="40"/>
  <c r="I43" i="40"/>
  <c r="M42" i="40"/>
  <c r="C42" i="40"/>
  <c r="I40" i="40"/>
  <c r="S39" i="40"/>
  <c r="I39" i="40"/>
  <c r="S38" i="40"/>
  <c r="I38" i="40"/>
  <c r="S37" i="40"/>
  <c r="I37" i="40"/>
  <c r="S36" i="40"/>
  <c r="I36" i="40"/>
  <c r="S35" i="40"/>
  <c r="I35" i="40"/>
  <c r="S34" i="40"/>
  <c r="I34" i="40"/>
  <c r="S33" i="40"/>
  <c r="I33" i="40"/>
  <c r="S32" i="40"/>
  <c r="I32" i="40"/>
  <c r="S31" i="40"/>
  <c r="I31" i="40"/>
  <c r="S30" i="40"/>
  <c r="I30" i="40"/>
  <c r="M29" i="40"/>
  <c r="C29" i="40"/>
  <c r="S27" i="40"/>
  <c r="S26" i="40"/>
  <c r="S25" i="40"/>
  <c r="S24" i="40"/>
  <c r="S23" i="40"/>
  <c r="S22" i="40"/>
  <c r="I20" i="40"/>
  <c r="S19" i="40"/>
  <c r="I19" i="40"/>
  <c r="S18" i="40"/>
  <c r="I18" i="40"/>
  <c r="S17" i="40"/>
  <c r="I17" i="40"/>
  <c r="M16" i="40"/>
  <c r="C16" i="40"/>
  <c r="S14" i="40"/>
  <c r="I14" i="40"/>
  <c r="S13" i="40"/>
  <c r="I13" i="40"/>
  <c r="S12" i="40"/>
  <c r="I12" i="40"/>
  <c r="S11" i="40"/>
  <c r="I11" i="40"/>
  <c r="S10" i="40"/>
  <c r="I10" i="40"/>
  <c r="S9" i="40"/>
  <c r="I9" i="40"/>
  <c r="S8" i="40"/>
  <c r="I8" i="40"/>
  <c r="S7" i="40"/>
  <c r="I7" i="40"/>
  <c r="S6" i="40"/>
  <c r="I6" i="40"/>
  <c r="S5" i="40"/>
  <c r="I5" i="40"/>
  <c r="S4" i="40"/>
  <c r="I4" i="40"/>
  <c r="M3" i="40"/>
  <c r="C3" i="40"/>
  <c r="S40" i="39" l="1"/>
  <c r="S39" i="39"/>
  <c r="S38" i="39"/>
  <c r="S37" i="39"/>
  <c r="S36" i="39"/>
  <c r="S35" i="39"/>
  <c r="S34" i="39"/>
  <c r="S33" i="39"/>
  <c r="S32" i="39"/>
  <c r="S31" i="39"/>
  <c r="S30" i="39"/>
  <c r="I40" i="39"/>
  <c r="I39" i="39"/>
  <c r="I38" i="39"/>
  <c r="I37" i="39"/>
  <c r="I36" i="39"/>
  <c r="I35" i="39"/>
  <c r="I34" i="39"/>
  <c r="I33" i="39"/>
  <c r="I32" i="39"/>
  <c r="I31" i="39"/>
  <c r="I30" i="39"/>
  <c r="C29" i="39"/>
  <c r="M29" i="39"/>
  <c r="I27" i="39"/>
  <c r="S26" i="39"/>
  <c r="S27" i="39"/>
  <c r="S23" i="39"/>
  <c r="S22" i="39"/>
  <c r="S21" i="39"/>
  <c r="S20" i="39"/>
  <c r="S19" i="39"/>
  <c r="S18" i="39"/>
  <c r="S17" i="39"/>
  <c r="I25" i="39"/>
  <c r="I24" i="39"/>
  <c r="I23" i="39"/>
  <c r="I22" i="39"/>
  <c r="I21" i="39"/>
  <c r="I20" i="39"/>
  <c r="I19" i="39"/>
  <c r="I18" i="39"/>
  <c r="I17" i="39"/>
  <c r="M16" i="39"/>
  <c r="C16" i="39"/>
  <c r="M3" i="39"/>
  <c r="C3" i="39"/>
  <c r="S4" i="39"/>
  <c r="S14" i="39"/>
  <c r="S13" i="39"/>
  <c r="S12" i="39"/>
  <c r="S11" i="39"/>
  <c r="S10" i="39"/>
  <c r="S9" i="39"/>
  <c r="S8" i="39"/>
  <c r="S7" i="39"/>
  <c r="S6" i="39"/>
  <c r="S5" i="39"/>
  <c r="I14" i="39" l="1"/>
  <c r="I13" i="39"/>
  <c r="I12" i="39"/>
  <c r="I11" i="39"/>
  <c r="I10" i="39"/>
  <c r="I9" i="39"/>
  <c r="I8" i="39"/>
  <c r="I7" i="39"/>
  <c r="I6" i="39"/>
  <c r="I5" i="39"/>
  <c r="I4" i="39"/>
  <c r="B7" i="35" l="1"/>
  <c r="C7" i="35"/>
  <c r="D7" i="35"/>
  <c r="E7" i="35"/>
  <c r="F7" i="35"/>
  <c r="G7" i="35"/>
  <c r="B8" i="35"/>
  <c r="C8" i="35"/>
  <c r="D8" i="35"/>
  <c r="E8" i="35"/>
  <c r="F8" i="35"/>
  <c r="G8" i="35"/>
  <c r="B9" i="35"/>
  <c r="C9" i="35"/>
  <c r="D9" i="35"/>
  <c r="E9" i="35"/>
  <c r="F9" i="35"/>
  <c r="G9" i="35"/>
  <c r="B10" i="35"/>
  <c r="C10" i="35"/>
  <c r="D10" i="35"/>
  <c r="E10" i="35"/>
  <c r="F10" i="35"/>
  <c r="G10" i="35"/>
  <c r="B11" i="35"/>
  <c r="C11" i="35"/>
  <c r="D11" i="35"/>
  <c r="E11" i="35"/>
  <c r="F11" i="35"/>
  <c r="G11" i="35"/>
  <c r="B12" i="35"/>
  <c r="C12" i="35"/>
  <c r="D12" i="35"/>
  <c r="E12" i="35"/>
  <c r="F12" i="35"/>
  <c r="G12" i="35"/>
  <c r="B13" i="35"/>
  <c r="C13" i="35"/>
  <c r="D13" i="35"/>
  <c r="E13" i="35"/>
  <c r="F13" i="35"/>
  <c r="G13" i="35"/>
  <c r="B14" i="35"/>
  <c r="C14" i="35"/>
  <c r="D14" i="35"/>
  <c r="E14" i="35"/>
  <c r="F14" i="35"/>
  <c r="G14" i="35"/>
  <c r="B15" i="35"/>
  <c r="C15" i="35"/>
  <c r="D15" i="35"/>
  <c r="E15" i="35"/>
  <c r="F15" i="35"/>
  <c r="G15" i="35"/>
  <c r="B16" i="35"/>
  <c r="C16" i="35"/>
  <c r="D16" i="35"/>
  <c r="E16" i="35"/>
  <c r="F16" i="35"/>
  <c r="G16" i="35"/>
  <c r="B17" i="35"/>
  <c r="C17" i="35"/>
  <c r="D17" i="35"/>
  <c r="E17" i="35"/>
  <c r="F17" i="35"/>
  <c r="G17" i="35"/>
  <c r="B18" i="35"/>
  <c r="C18" i="35"/>
  <c r="D18" i="35"/>
  <c r="E18" i="35"/>
  <c r="F18" i="35"/>
  <c r="G18" i="35"/>
  <c r="B19" i="35"/>
  <c r="C19" i="35"/>
  <c r="D19" i="35"/>
  <c r="E19" i="35"/>
  <c r="F19" i="35"/>
  <c r="G19" i="35"/>
  <c r="B20" i="35"/>
  <c r="C20" i="35"/>
  <c r="D20" i="35"/>
  <c r="E20" i="35"/>
  <c r="F20" i="35"/>
  <c r="G20" i="35"/>
  <c r="B21" i="35"/>
  <c r="C21" i="35"/>
  <c r="D21" i="35"/>
  <c r="E21" i="35"/>
  <c r="F21" i="35"/>
  <c r="G21" i="35"/>
  <c r="B22" i="35"/>
  <c r="C22" i="35"/>
  <c r="D22" i="35"/>
  <c r="E22" i="35"/>
  <c r="F22" i="35"/>
  <c r="G22" i="35"/>
  <c r="B23" i="35"/>
  <c r="C23" i="35"/>
  <c r="D23" i="35"/>
  <c r="E23" i="35"/>
  <c r="F23" i="35"/>
  <c r="G23" i="35"/>
  <c r="B24" i="35"/>
  <c r="C24" i="35"/>
  <c r="D24" i="35"/>
  <c r="E24" i="35"/>
  <c r="F24" i="35"/>
  <c r="G24" i="35"/>
  <c r="B25" i="35"/>
  <c r="C25" i="35"/>
  <c r="D25" i="35"/>
  <c r="E25" i="35"/>
  <c r="F25" i="35"/>
  <c r="G25" i="35"/>
  <c r="B26" i="35"/>
  <c r="C26" i="35"/>
  <c r="D26" i="35"/>
  <c r="E26" i="35"/>
  <c r="F26" i="35"/>
  <c r="G26" i="35"/>
  <c r="B27" i="35"/>
  <c r="C27" i="35"/>
  <c r="D27" i="35"/>
  <c r="E27" i="35"/>
  <c r="F27" i="35"/>
  <c r="G27" i="35"/>
  <c r="B28" i="35"/>
  <c r="D28" i="35"/>
  <c r="E28" i="35"/>
  <c r="F28" i="35"/>
  <c r="G28" i="35"/>
  <c r="B29" i="35"/>
  <c r="C29" i="35"/>
  <c r="D29" i="35"/>
  <c r="E29" i="35"/>
  <c r="F29" i="35"/>
  <c r="G29" i="35"/>
  <c r="B30" i="35"/>
  <c r="C30" i="35"/>
  <c r="D30" i="35"/>
  <c r="E30" i="35"/>
  <c r="F30" i="35"/>
  <c r="G30" i="35"/>
  <c r="B31" i="35"/>
  <c r="C31" i="35"/>
  <c r="D31" i="35"/>
  <c r="E31" i="35"/>
  <c r="F31" i="35"/>
  <c r="G31" i="35"/>
  <c r="B32" i="35"/>
  <c r="C32" i="35"/>
  <c r="D32" i="35"/>
  <c r="E32" i="35"/>
  <c r="F32" i="35"/>
  <c r="G32" i="35"/>
  <c r="B33" i="35"/>
  <c r="C33" i="35"/>
  <c r="D33" i="35"/>
  <c r="E33" i="35"/>
  <c r="F33" i="35"/>
  <c r="G33" i="35"/>
  <c r="B34" i="35"/>
  <c r="C34" i="35"/>
  <c r="D34" i="35"/>
  <c r="E34" i="35"/>
  <c r="F34" i="35"/>
  <c r="G34" i="35"/>
  <c r="B35" i="35"/>
  <c r="C35" i="35"/>
  <c r="D35" i="35"/>
  <c r="E35" i="35"/>
  <c r="F35" i="35"/>
  <c r="G35" i="35"/>
  <c r="B36" i="35"/>
  <c r="C36" i="35"/>
  <c r="D36" i="35"/>
  <c r="E36" i="35"/>
  <c r="F36" i="35"/>
  <c r="G36" i="35"/>
  <c r="B37" i="35"/>
  <c r="C37" i="35"/>
  <c r="D37" i="35"/>
  <c r="E37" i="35"/>
  <c r="F37" i="35"/>
  <c r="G37" i="35"/>
  <c r="B38" i="35"/>
  <c r="C38" i="35"/>
  <c r="D38" i="35"/>
  <c r="E38" i="35"/>
  <c r="F38" i="35"/>
  <c r="G38" i="35"/>
  <c r="B39" i="35"/>
  <c r="C39" i="35"/>
  <c r="D39" i="35"/>
  <c r="E39" i="35"/>
  <c r="F39" i="35"/>
  <c r="G39" i="35"/>
  <c r="B40" i="35"/>
  <c r="C40" i="35"/>
  <c r="D40" i="35"/>
  <c r="E40" i="35"/>
  <c r="F40" i="35"/>
  <c r="G40" i="35"/>
  <c r="B41" i="35"/>
  <c r="C41" i="35"/>
  <c r="D41" i="35"/>
  <c r="E41" i="35"/>
  <c r="F41" i="35"/>
  <c r="G41" i="35"/>
  <c r="B43" i="35"/>
  <c r="C43" i="35"/>
  <c r="D43" i="35"/>
  <c r="E43" i="35"/>
  <c r="F43" i="35"/>
  <c r="G43" i="35"/>
  <c r="B44" i="35"/>
  <c r="C44" i="35"/>
  <c r="D44" i="35"/>
  <c r="E44" i="35"/>
  <c r="F44" i="35"/>
  <c r="G44" i="35"/>
  <c r="B45" i="35"/>
  <c r="C45" i="35"/>
  <c r="D45" i="35"/>
  <c r="E45" i="35"/>
  <c r="F45" i="35"/>
  <c r="G45" i="35"/>
  <c r="B46" i="35"/>
  <c r="C46" i="35"/>
  <c r="D46" i="35"/>
  <c r="E46" i="35"/>
  <c r="F46" i="35"/>
  <c r="G46" i="35"/>
  <c r="B47" i="35"/>
  <c r="C47" i="35"/>
  <c r="D47" i="35"/>
  <c r="E47" i="35"/>
  <c r="F47" i="35"/>
  <c r="G47" i="35"/>
  <c r="B48" i="35"/>
  <c r="C48" i="35"/>
  <c r="D48" i="35"/>
  <c r="E48" i="35"/>
  <c r="F48" i="35"/>
  <c r="G48" i="35"/>
  <c r="B49" i="35"/>
  <c r="C49" i="35"/>
  <c r="D49" i="35"/>
  <c r="E49" i="35"/>
  <c r="F49" i="35"/>
  <c r="G49" i="35"/>
  <c r="B50" i="35"/>
  <c r="C50" i="35"/>
  <c r="D50" i="35"/>
  <c r="E50" i="35"/>
  <c r="F50" i="35"/>
  <c r="G50" i="35"/>
  <c r="B7" i="34"/>
  <c r="C7" i="34"/>
  <c r="D7" i="34"/>
  <c r="E7" i="34"/>
  <c r="F7" i="34"/>
  <c r="G7" i="34"/>
  <c r="B8" i="34"/>
  <c r="C8" i="34"/>
  <c r="D8" i="34"/>
  <c r="E8" i="34"/>
  <c r="F8" i="34"/>
  <c r="G8" i="34"/>
  <c r="B9" i="34"/>
  <c r="C9" i="34"/>
  <c r="D9" i="34"/>
  <c r="E9" i="34"/>
  <c r="F9" i="34"/>
  <c r="G9" i="34"/>
  <c r="B10" i="34"/>
  <c r="C10" i="34"/>
  <c r="D10" i="34"/>
  <c r="E10" i="34"/>
  <c r="F10" i="34"/>
  <c r="G10" i="34"/>
  <c r="B11" i="34"/>
  <c r="C11" i="34"/>
  <c r="D11" i="34"/>
  <c r="E11" i="34"/>
  <c r="F11" i="34"/>
  <c r="G11" i="34"/>
  <c r="B12" i="34"/>
  <c r="C12" i="34"/>
  <c r="D12" i="34"/>
  <c r="E12" i="34"/>
  <c r="F12" i="34"/>
  <c r="G12" i="34"/>
  <c r="B13" i="34"/>
  <c r="C13" i="34"/>
  <c r="D13" i="34"/>
  <c r="E13" i="34"/>
  <c r="F13" i="34"/>
  <c r="G13" i="34"/>
  <c r="B14" i="34"/>
  <c r="C14" i="34"/>
  <c r="D14" i="34"/>
  <c r="E14" i="34"/>
  <c r="F14" i="34"/>
  <c r="G14" i="34"/>
  <c r="B15" i="34"/>
  <c r="C15" i="34"/>
  <c r="D15" i="34"/>
  <c r="E15" i="34"/>
  <c r="F15" i="34"/>
  <c r="G15" i="34"/>
  <c r="B16" i="34"/>
  <c r="C16" i="34"/>
  <c r="D16" i="34"/>
  <c r="E16" i="34"/>
  <c r="F16" i="34"/>
  <c r="G16" i="34"/>
  <c r="B17" i="34"/>
  <c r="C17" i="34"/>
  <c r="D17" i="34"/>
  <c r="E17" i="34"/>
  <c r="F17" i="34"/>
  <c r="G17" i="34"/>
  <c r="B18" i="34"/>
  <c r="C18" i="34"/>
  <c r="D18" i="34"/>
  <c r="E18" i="34"/>
  <c r="F18" i="34"/>
  <c r="G18" i="34"/>
  <c r="B19" i="34"/>
  <c r="C19" i="34"/>
  <c r="D19" i="34"/>
  <c r="E19" i="34"/>
  <c r="F19" i="34"/>
  <c r="G19" i="34"/>
  <c r="B20" i="34"/>
  <c r="C20" i="34"/>
  <c r="D20" i="34"/>
  <c r="E20" i="34"/>
  <c r="F20" i="34"/>
  <c r="G20" i="34"/>
  <c r="B21" i="34"/>
  <c r="C21" i="34"/>
  <c r="D21" i="34"/>
  <c r="E21" i="34"/>
  <c r="F21" i="34"/>
  <c r="G21" i="34"/>
  <c r="B22" i="34"/>
  <c r="C22" i="34"/>
  <c r="D22" i="34"/>
  <c r="E22" i="34"/>
  <c r="F22" i="34"/>
  <c r="G22" i="34"/>
  <c r="B23" i="34"/>
  <c r="C23" i="34"/>
  <c r="D23" i="34"/>
  <c r="E23" i="34"/>
  <c r="F23" i="34"/>
  <c r="G23" i="34"/>
  <c r="B24" i="34"/>
  <c r="C24" i="34"/>
  <c r="D24" i="34"/>
  <c r="E24" i="34"/>
  <c r="F24" i="34"/>
  <c r="G24" i="34"/>
  <c r="B25" i="34"/>
  <c r="C25" i="34"/>
  <c r="D25" i="34"/>
  <c r="E25" i="34"/>
  <c r="F25" i="34"/>
  <c r="G25" i="34"/>
  <c r="B26" i="34"/>
  <c r="D26" i="34"/>
  <c r="E26" i="34"/>
  <c r="F26" i="34"/>
  <c r="G26" i="34"/>
  <c r="B27" i="34"/>
  <c r="C27" i="34"/>
  <c r="D27" i="34"/>
  <c r="E27" i="34"/>
  <c r="F27" i="34"/>
  <c r="G27" i="34"/>
  <c r="B28" i="34"/>
  <c r="C28" i="34"/>
  <c r="D28" i="34"/>
  <c r="E28" i="34"/>
  <c r="F28" i="34"/>
  <c r="G28" i="34"/>
  <c r="B29" i="34"/>
  <c r="C29" i="34"/>
  <c r="D29" i="34"/>
  <c r="E29" i="34"/>
  <c r="F29" i="34"/>
  <c r="G29" i="34"/>
  <c r="B30" i="34"/>
  <c r="C30" i="34"/>
  <c r="D30" i="34"/>
  <c r="E30" i="34"/>
  <c r="F30" i="34"/>
  <c r="G30" i="34"/>
  <c r="B31" i="34"/>
  <c r="C31" i="34"/>
  <c r="D31" i="34"/>
  <c r="E31" i="34"/>
  <c r="F31" i="34"/>
  <c r="G31" i="34"/>
  <c r="B32" i="34"/>
  <c r="C32" i="34"/>
  <c r="D32" i="34"/>
  <c r="E32" i="34"/>
  <c r="F32" i="34"/>
  <c r="G32" i="34"/>
  <c r="B33" i="34"/>
  <c r="C33" i="34"/>
  <c r="D33" i="34"/>
  <c r="E33" i="34"/>
  <c r="F33" i="34"/>
  <c r="G33" i="34"/>
  <c r="B34" i="34"/>
  <c r="C34" i="34"/>
  <c r="D34" i="34"/>
  <c r="E34" i="34"/>
  <c r="F34" i="34"/>
  <c r="G34" i="34"/>
  <c r="B35" i="34"/>
  <c r="C35" i="34"/>
  <c r="D35" i="34"/>
  <c r="E35" i="34"/>
  <c r="F35" i="34"/>
  <c r="G35" i="34"/>
  <c r="B36" i="34"/>
  <c r="C36" i="34"/>
  <c r="D36" i="34"/>
  <c r="E36" i="34"/>
  <c r="F36" i="34"/>
  <c r="G36" i="34"/>
  <c r="B37" i="34"/>
  <c r="C37" i="34"/>
  <c r="D37" i="34"/>
  <c r="E37" i="34"/>
  <c r="F37" i="34"/>
  <c r="G37" i="34"/>
  <c r="B38" i="34"/>
  <c r="C38" i="34"/>
  <c r="D38" i="34"/>
  <c r="E38" i="34"/>
  <c r="F38" i="34"/>
  <c r="G38" i="34"/>
  <c r="B39" i="34"/>
  <c r="C39" i="34"/>
  <c r="D39" i="34"/>
  <c r="E39" i="34"/>
  <c r="F39" i="34"/>
  <c r="G39" i="34"/>
  <c r="B41" i="34"/>
  <c r="C41" i="34"/>
  <c r="D41" i="34"/>
  <c r="E41" i="34"/>
  <c r="F41" i="34"/>
  <c r="G41" i="34"/>
  <c r="B42" i="34"/>
  <c r="C42" i="34"/>
  <c r="D42" i="34"/>
  <c r="E42" i="34"/>
  <c r="F42" i="34"/>
  <c r="G42" i="34"/>
  <c r="B43" i="34"/>
  <c r="C43" i="34"/>
  <c r="D43" i="34"/>
  <c r="E43" i="34"/>
  <c r="F43" i="34"/>
  <c r="G43" i="34"/>
  <c r="B44" i="34"/>
  <c r="C44" i="34"/>
  <c r="D44" i="34"/>
  <c r="E44" i="34"/>
  <c r="F44" i="34"/>
  <c r="G44" i="34"/>
  <c r="B45" i="34"/>
  <c r="C45" i="34"/>
  <c r="D45" i="34"/>
  <c r="E45" i="34"/>
  <c r="F45" i="34"/>
  <c r="G45" i="34"/>
  <c r="B46" i="34"/>
  <c r="C46" i="34"/>
  <c r="D46" i="34"/>
  <c r="E46" i="34"/>
  <c r="F46" i="34"/>
  <c r="G46" i="3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B29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B6" i="14"/>
  <c r="C6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B7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B21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B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B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B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B28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B29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B30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B31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B32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B33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B34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B35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B36" i="12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B37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B38" i="12"/>
  <c r="C38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B39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B40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B42" i="12"/>
  <c r="C42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B43" i="12"/>
  <c r="C43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B44" i="12"/>
  <c r="C44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B45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B46" i="12"/>
  <c r="C46" i="12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B47" i="12"/>
  <c r="C47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B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B41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B42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B44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B46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B47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B49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B50" i="11"/>
  <c r="C50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B51" i="11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B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E6" i="9"/>
  <c r="F6" i="9"/>
  <c r="G6" i="9"/>
  <c r="H6" i="9"/>
  <c r="B8" i="37"/>
  <c r="C8" i="37"/>
  <c r="B9" i="37"/>
  <c r="C9" i="37"/>
  <c r="B10" i="37"/>
  <c r="C10" i="37"/>
  <c r="B11" i="37"/>
  <c r="C11" i="37"/>
  <c r="B12" i="37"/>
  <c r="C12" i="37"/>
  <c r="B13" i="37"/>
  <c r="C13" i="37"/>
  <c r="B14" i="37"/>
  <c r="C14" i="37"/>
  <c r="B15" i="37"/>
  <c r="C15" i="37"/>
  <c r="B16" i="37"/>
  <c r="C16" i="37"/>
  <c r="B17" i="37"/>
  <c r="C17" i="37"/>
  <c r="B18" i="37"/>
  <c r="C18" i="37"/>
  <c r="B19" i="37"/>
  <c r="C19" i="37"/>
  <c r="B20" i="37"/>
  <c r="C20" i="37"/>
  <c r="B21" i="37"/>
  <c r="C21" i="37"/>
  <c r="B22" i="37"/>
  <c r="C22" i="37"/>
  <c r="B23" i="37"/>
  <c r="C23" i="37"/>
  <c r="B24" i="37"/>
  <c r="C24" i="37"/>
  <c r="B25" i="37"/>
  <c r="C25" i="37"/>
  <c r="B26" i="37"/>
  <c r="C26" i="37"/>
  <c r="B27" i="37"/>
  <c r="C27" i="37"/>
  <c r="B28" i="37"/>
  <c r="C28" i="37"/>
  <c r="B29" i="37"/>
  <c r="B30" i="37"/>
  <c r="C30" i="37"/>
  <c r="B31" i="37"/>
  <c r="C31" i="37"/>
  <c r="B32" i="37"/>
  <c r="C32" i="37"/>
  <c r="B33" i="37"/>
  <c r="C33" i="37"/>
  <c r="B34" i="37"/>
  <c r="C34" i="37"/>
  <c r="B35" i="37"/>
  <c r="C35" i="37"/>
  <c r="B36" i="37"/>
  <c r="C36" i="37"/>
  <c r="B37" i="37"/>
  <c r="C37" i="37"/>
  <c r="B38" i="37"/>
  <c r="C38" i="37"/>
  <c r="B39" i="37"/>
  <c r="C39" i="37"/>
  <c r="B40" i="37"/>
  <c r="C40" i="37"/>
  <c r="B41" i="37"/>
  <c r="C41" i="37"/>
  <c r="B42" i="37"/>
  <c r="C42" i="37"/>
  <c r="B44" i="37"/>
  <c r="C44" i="37"/>
  <c r="B45" i="37"/>
  <c r="C45" i="37"/>
  <c r="B46" i="37"/>
  <c r="C46" i="37"/>
  <c r="B47" i="37"/>
  <c r="C47" i="37"/>
  <c r="B48" i="37"/>
  <c r="C48" i="37"/>
  <c r="B49" i="37"/>
  <c r="C49" i="37"/>
  <c r="B50" i="37"/>
  <c r="C50" i="37"/>
  <c r="B51" i="37"/>
  <c r="C51" i="37"/>
  <c r="V40" i="11" l="1"/>
  <c r="V20" i="11"/>
  <c r="V8" i="12"/>
  <c r="V8" i="9"/>
  <c r="V6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4" i="14"/>
  <c r="V45" i="14"/>
  <c r="V46" i="14"/>
  <c r="V47" i="14"/>
  <c r="V48" i="14"/>
  <c r="V49" i="14"/>
  <c r="V50" i="14"/>
  <c r="V51" i="14"/>
  <c r="V38" i="12"/>
  <c r="V30" i="12"/>
  <c r="V45" i="12"/>
  <c r="V20" i="12"/>
  <c r="V16" i="12"/>
  <c r="V25" i="12"/>
  <c r="V31" i="11"/>
  <c r="V15" i="11"/>
  <c r="V25" i="11"/>
  <c r="V22" i="11"/>
  <c r="V8" i="11"/>
  <c r="V49" i="11"/>
  <c r="V36" i="11"/>
  <c r="V28" i="11"/>
  <c r="V18" i="11"/>
  <c r="V34" i="9"/>
  <c r="V43" i="9"/>
  <c r="V45" i="11"/>
  <c r="V34" i="11"/>
  <c r="V38" i="11"/>
  <c r="V11" i="11"/>
  <c r="V18" i="12"/>
  <c r="V22" i="12"/>
  <c r="V12" i="12"/>
  <c r="V14" i="12"/>
  <c r="V34" i="12"/>
  <c r="V38" i="9"/>
  <c r="V18" i="9"/>
  <c r="V14" i="9"/>
  <c r="V30" i="9"/>
  <c r="V20" i="9"/>
  <c r="V25" i="9"/>
  <c r="V16" i="9"/>
  <c r="V19" i="9"/>
  <c r="V12" i="9"/>
  <c r="V22" i="9"/>
  <c r="V23" i="9"/>
  <c r="V21" i="9"/>
  <c r="V40" i="12"/>
  <c r="V26" i="12"/>
  <c r="V21" i="12"/>
  <c r="V17" i="12"/>
  <c r="V13" i="12"/>
  <c r="V47" i="12"/>
  <c r="V28" i="12"/>
  <c r="V23" i="12"/>
  <c r="V19" i="12"/>
  <c r="V15" i="12"/>
  <c r="V46" i="12"/>
  <c r="V39" i="12"/>
  <c r="V32" i="12"/>
  <c r="V44" i="12"/>
  <c r="V43" i="12"/>
  <c r="V36" i="12"/>
  <c r="V24" i="12"/>
  <c r="V11" i="12"/>
  <c r="V42" i="12"/>
  <c r="V35" i="12"/>
  <c r="V31" i="12"/>
  <c r="V27" i="12"/>
  <c r="V37" i="12"/>
  <c r="V33" i="12"/>
  <c r="V29" i="12"/>
  <c r="V10" i="12"/>
  <c r="V29" i="11"/>
  <c r="V50" i="11"/>
  <c r="V42" i="11"/>
  <c r="V37" i="11"/>
  <c r="V33" i="11"/>
  <c r="V27" i="11"/>
  <c r="V21" i="11"/>
  <c r="V17" i="11"/>
  <c r="V9" i="11"/>
  <c r="V48" i="11"/>
  <c r="V39" i="11"/>
  <c r="V35" i="11"/>
  <c r="V30" i="11"/>
  <c r="V23" i="11"/>
  <c r="V19" i="11"/>
  <c r="V13" i="11"/>
  <c r="V47" i="9"/>
  <c r="V44" i="9"/>
  <c r="V40" i="9"/>
  <c r="V32" i="9"/>
  <c r="V26" i="9"/>
  <c r="V36" i="9"/>
  <c r="V28" i="9"/>
  <c r="V46" i="9"/>
  <c r="V39" i="9"/>
  <c r="V35" i="9"/>
  <c r="V31" i="9"/>
  <c r="V27" i="9"/>
  <c r="V10" i="9"/>
  <c r="V45" i="9"/>
  <c r="V42" i="9"/>
  <c r="V37" i="9"/>
  <c r="V33" i="9"/>
  <c r="V29" i="9"/>
  <c r="V24" i="9"/>
  <c r="V7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9" i="12"/>
  <c r="V41" i="11"/>
  <c r="V32" i="11"/>
  <c r="V26" i="11"/>
  <c r="V16" i="11"/>
  <c r="V12" i="11"/>
  <c r="V47" i="11"/>
  <c r="V46" i="11"/>
  <c r="V51" i="11"/>
  <c r="V44" i="11"/>
  <c r="V24" i="11"/>
  <c r="V14" i="11"/>
  <c r="V10" i="11"/>
  <c r="V17" i="9"/>
  <c r="V13" i="9"/>
  <c r="V9" i="9"/>
  <c r="V15" i="9"/>
  <c r="V11" i="9"/>
  <c r="B8" i="36"/>
  <c r="C8" i="36"/>
  <c r="B9" i="36"/>
  <c r="C9" i="36"/>
  <c r="B10" i="36"/>
  <c r="C10" i="36"/>
  <c r="B11" i="36"/>
  <c r="C11" i="36"/>
  <c r="B12" i="36"/>
  <c r="C12" i="36"/>
  <c r="B13" i="36"/>
  <c r="C13" i="36"/>
  <c r="B14" i="36"/>
  <c r="C14" i="36"/>
  <c r="B15" i="36"/>
  <c r="C15" i="36"/>
  <c r="B16" i="36"/>
  <c r="C16" i="36"/>
  <c r="B17" i="36"/>
  <c r="C17" i="36"/>
  <c r="B18" i="36"/>
  <c r="C18" i="36"/>
  <c r="B19" i="36"/>
  <c r="C19" i="36"/>
  <c r="B20" i="36"/>
  <c r="C20" i="36"/>
  <c r="B21" i="36"/>
  <c r="C21" i="36"/>
  <c r="B22" i="36"/>
  <c r="C22" i="36"/>
  <c r="B23" i="36"/>
  <c r="C23" i="36"/>
  <c r="B24" i="36"/>
  <c r="C24" i="36"/>
  <c r="B25" i="36"/>
  <c r="C25" i="36"/>
  <c r="B26" i="36"/>
  <c r="C26" i="36"/>
  <c r="B27" i="36"/>
  <c r="B28" i="36"/>
  <c r="C28" i="36"/>
  <c r="B29" i="36"/>
  <c r="C29" i="36"/>
  <c r="B30" i="36"/>
  <c r="C30" i="36"/>
  <c r="B31" i="36"/>
  <c r="C31" i="36"/>
  <c r="B32" i="36"/>
  <c r="C32" i="36"/>
  <c r="B33" i="36"/>
  <c r="C33" i="36"/>
  <c r="B34" i="36"/>
  <c r="C34" i="36"/>
  <c r="B35" i="36"/>
  <c r="C35" i="36"/>
  <c r="B36" i="36"/>
  <c r="C36" i="36"/>
  <c r="B37" i="36"/>
  <c r="C37" i="36"/>
  <c r="B38" i="36"/>
  <c r="C38" i="36"/>
  <c r="B39" i="36"/>
  <c r="C39" i="36"/>
  <c r="B40" i="36"/>
  <c r="C40" i="36"/>
  <c r="B42" i="36"/>
  <c r="C42" i="36"/>
  <c r="B43" i="36"/>
  <c r="C43" i="36"/>
  <c r="B44" i="36"/>
  <c r="C44" i="36"/>
  <c r="B45" i="36"/>
  <c r="C45" i="36"/>
  <c r="B46" i="36"/>
  <c r="C46" i="36"/>
  <c r="B47" i="36"/>
  <c r="C47" i="36"/>
  <c r="B8" i="20"/>
  <c r="C8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B21" i="20"/>
  <c r="C21" i="20"/>
  <c r="B22" i="20"/>
  <c r="C22" i="20"/>
  <c r="B23" i="20"/>
  <c r="C23" i="20"/>
  <c r="B24" i="20"/>
  <c r="C24" i="20"/>
  <c r="B25" i="20"/>
  <c r="C25" i="20"/>
  <c r="B26" i="20"/>
  <c r="C26" i="20"/>
  <c r="B27" i="20"/>
  <c r="C27" i="20"/>
  <c r="B28" i="20"/>
  <c r="C28" i="20"/>
  <c r="B29" i="20"/>
  <c r="B30" i="20"/>
  <c r="C30" i="20"/>
  <c r="B31" i="20"/>
  <c r="C31" i="20"/>
  <c r="B32" i="20"/>
  <c r="C32" i="20"/>
  <c r="B33" i="20"/>
  <c r="C33" i="20"/>
  <c r="B34" i="20"/>
  <c r="C34" i="20"/>
  <c r="B35" i="20"/>
  <c r="C35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4" i="20"/>
  <c r="C44" i="20"/>
  <c r="B45" i="20"/>
  <c r="C45" i="20"/>
  <c r="B46" i="20"/>
  <c r="C46" i="20"/>
  <c r="B47" i="20"/>
  <c r="C47" i="20"/>
  <c r="B48" i="20"/>
  <c r="C48" i="20"/>
  <c r="B49" i="20"/>
  <c r="C49" i="20"/>
  <c r="B50" i="20"/>
  <c r="C50" i="20"/>
  <c r="B51" i="20"/>
  <c r="C51" i="20"/>
  <c r="B48" i="19"/>
  <c r="C48" i="19"/>
  <c r="D8" i="23"/>
  <c r="H8" i="23"/>
  <c r="J8" i="23"/>
  <c r="L8" i="23"/>
  <c r="D9" i="23"/>
  <c r="H9" i="23"/>
  <c r="J9" i="23"/>
  <c r="L9" i="23"/>
  <c r="D10" i="23"/>
  <c r="H10" i="23"/>
  <c r="J10" i="23"/>
  <c r="L10" i="23"/>
  <c r="D11" i="23"/>
  <c r="H11" i="23"/>
  <c r="J11" i="23"/>
  <c r="L11" i="23"/>
  <c r="D12" i="23"/>
  <c r="H12" i="23"/>
  <c r="J12" i="23"/>
  <c r="L12" i="23"/>
  <c r="D13" i="23"/>
  <c r="H13" i="23"/>
  <c r="J13" i="23"/>
  <c r="L13" i="23"/>
  <c r="D14" i="23"/>
  <c r="H14" i="23"/>
  <c r="J14" i="23"/>
  <c r="L14" i="23"/>
  <c r="D15" i="23"/>
  <c r="F15" i="23"/>
  <c r="H15" i="23"/>
  <c r="J15" i="23"/>
  <c r="L15" i="23"/>
  <c r="D16" i="23"/>
  <c r="F16" i="23"/>
  <c r="H16" i="23"/>
  <c r="J16" i="23"/>
  <c r="L16" i="23"/>
  <c r="D17" i="23"/>
  <c r="F17" i="23"/>
  <c r="H17" i="23"/>
  <c r="J17" i="23"/>
  <c r="L17" i="23"/>
  <c r="D18" i="23"/>
  <c r="F18" i="23"/>
  <c r="H18" i="23"/>
  <c r="J18" i="23"/>
  <c r="L18" i="23"/>
  <c r="D19" i="23"/>
  <c r="F19" i="23"/>
  <c r="H19" i="23"/>
  <c r="J19" i="23"/>
  <c r="L19" i="23"/>
  <c r="D20" i="23"/>
  <c r="F20" i="23"/>
  <c r="H20" i="23"/>
  <c r="J20" i="23"/>
  <c r="L20" i="23"/>
  <c r="D21" i="23"/>
  <c r="F21" i="23"/>
  <c r="H21" i="23"/>
  <c r="J21" i="23"/>
  <c r="L21" i="23"/>
  <c r="D22" i="23"/>
  <c r="F22" i="23"/>
  <c r="H22" i="23"/>
  <c r="J22" i="23"/>
  <c r="L22" i="23"/>
  <c r="D23" i="23"/>
  <c r="F23" i="23"/>
  <c r="H23" i="23"/>
  <c r="J23" i="23"/>
  <c r="L23" i="23"/>
  <c r="D24" i="23"/>
  <c r="F24" i="23"/>
  <c r="H24" i="23"/>
  <c r="J24" i="23"/>
  <c r="L24" i="23"/>
  <c r="D25" i="23"/>
  <c r="F25" i="23"/>
  <c r="H25" i="23"/>
  <c r="J25" i="23"/>
  <c r="L25" i="23"/>
  <c r="D26" i="23"/>
  <c r="F26" i="23"/>
  <c r="H26" i="23"/>
  <c r="J26" i="23"/>
  <c r="L26" i="23"/>
  <c r="D27" i="23"/>
  <c r="F27" i="23"/>
  <c r="H27" i="23"/>
  <c r="J27" i="23"/>
  <c r="L27" i="23"/>
  <c r="D28" i="23"/>
  <c r="F28" i="23"/>
  <c r="H28" i="23"/>
  <c r="J28" i="23"/>
  <c r="L28" i="23"/>
  <c r="D29" i="23"/>
  <c r="F29" i="23"/>
  <c r="H29" i="23"/>
  <c r="J29" i="23"/>
  <c r="L29" i="23"/>
  <c r="D30" i="23"/>
  <c r="F30" i="23"/>
  <c r="H30" i="23"/>
  <c r="J30" i="23"/>
  <c r="L30" i="23"/>
  <c r="D31" i="23"/>
  <c r="F31" i="23"/>
  <c r="H31" i="23"/>
  <c r="J31" i="23"/>
  <c r="L31" i="23"/>
  <c r="D32" i="23"/>
  <c r="F32" i="23"/>
  <c r="H32" i="23"/>
  <c r="J32" i="23"/>
  <c r="L32" i="23"/>
  <c r="D33" i="23"/>
  <c r="F33" i="23"/>
  <c r="H33" i="23"/>
  <c r="J33" i="23"/>
  <c r="L33" i="23"/>
  <c r="D34" i="23"/>
  <c r="F34" i="23"/>
  <c r="H34" i="23"/>
  <c r="J34" i="23"/>
  <c r="L34" i="23"/>
  <c r="D35" i="23"/>
  <c r="F35" i="23"/>
  <c r="H35" i="23"/>
  <c r="J35" i="23"/>
  <c r="L35" i="23"/>
  <c r="D36" i="23"/>
  <c r="F36" i="23"/>
  <c r="H36" i="23"/>
  <c r="J36" i="23"/>
  <c r="L36" i="23"/>
  <c r="D37" i="23"/>
  <c r="F37" i="23"/>
  <c r="H37" i="23"/>
  <c r="J37" i="23"/>
  <c r="L37" i="23"/>
  <c r="D8" i="8"/>
  <c r="J8" i="8"/>
  <c r="D9" i="8"/>
  <c r="J9" i="8"/>
  <c r="D10" i="8"/>
  <c r="J10" i="8"/>
  <c r="D11" i="8"/>
  <c r="J11" i="8"/>
  <c r="D12" i="8"/>
  <c r="J12" i="8"/>
  <c r="D13" i="8"/>
  <c r="J13" i="8"/>
  <c r="D14" i="8"/>
  <c r="J14" i="8"/>
  <c r="D15" i="8"/>
  <c r="J15" i="8"/>
  <c r="D16" i="8"/>
  <c r="J16" i="8"/>
  <c r="D17" i="8"/>
  <c r="F17" i="8"/>
  <c r="H17" i="8"/>
  <c r="J17" i="8"/>
  <c r="L17" i="8"/>
  <c r="D18" i="8"/>
  <c r="F18" i="8"/>
  <c r="H18" i="8"/>
  <c r="J18" i="8"/>
  <c r="L18" i="8"/>
  <c r="D19" i="8"/>
  <c r="F19" i="8"/>
  <c r="H19" i="8"/>
  <c r="J19" i="8"/>
  <c r="L19" i="8"/>
  <c r="D20" i="8"/>
  <c r="F20" i="8"/>
  <c r="H20" i="8"/>
  <c r="J20" i="8"/>
  <c r="L20" i="8"/>
  <c r="D21" i="8"/>
  <c r="F21" i="8"/>
  <c r="H21" i="8"/>
  <c r="J21" i="8"/>
  <c r="L21" i="8"/>
  <c r="D22" i="8"/>
  <c r="F22" i="8"/>
  <c r="H22" i="8"/>
  <c r="J22" i="8"/>
  <c r="L22" i="8"/>
  <c r="D23" i="8"/>
  <c r="F23" i="8"/>
  <c r="H23" i="8"/>
  <c r="J23" i="8"/>
  <c r="L23" i="8"/>
  <c r="D24" i="8"/>
  <c r="F24" i="8"/>
  <c r="H24" i="8"/>
  <c r="J24" i="8"/>
  <c r="L24" i="8"/>
  <c r="J25" i="8"/>
  <c r="J26" i="8"/>
  <c r="J27" i="8"/>
  <c r="J28" i="8"/>
  <c r="J29" i="8"/>
  <c r="J30" i="8"/>
  <c r="J31" i="8"/>
  <c r="J32" i="8"/>
  <c r="J33" i="8"/>
  <c r="J34" i="8"/>
  <c r="J35" i="8"/>
  <c r="B7" i="9" l="1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AQ2" i="37"/>
  <c r="AS2" i="37" s="1"/>
  <c r="AM3" i="37"/>
  <c r="AL3" i="37"/>
  <c r="B7" i="37"/>
  <c r="C7" i="37"/>
  <c r="C6" i="37"/>
  <c r="AM3" i="36"/>
  <c r="AQ2" i="36"/>
  <c r="AS2" i="36" s="1"/>
  <c r="B7" i="36"/>
  <c r="C7" i="36"/>
  <c r="C6" i="36"/>
  <c r="C7" i="20"/>
  <c r="C6" i="20"/>
  <c r="AP2" i="20"/>
  <c r="AL3" i="20"/>
  <c r="AR2" i="20"/>
  <c r="B7" i="20"/>
  <c r="AL3" i="19"/>
  <c r="R3" i="19"/>
  <c r="B8" i="19"/>
  <c r="B7" i="8"/>
  <c r="C7" i="8"/>
  <c r="D7" i="8"/>
  <c r="J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7" i="23"/>
  <c r="C7" i="23"/>
  <c r="D7" i="23"/>
  <c r="H7" i="23"/>
  <c r="J7" i="23"/>
  <c r="L7" i="23"/>
  <c r="B8" i="23"/>
  <c r="C8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B21" i="23"/>
  <c r="C21" i="23"/>
  <c r="B22" i="23"/>
  <c r="C22" i="23"/>
  <c r="B23" i="23"/>
  <c r="C23" i="23"/>
  <c r="B24" i="23"/>
  <c r="C24" i="23"/>
  <c r="B25" i="23"/>
  <c r="C25" i="23"/>
  <c r="B26" i="23"/>
  <c r="C26" i="23"/>
  <c r="B27" i="23"/>
  <c r="C27" i="23"/>
  <c r="B28" i="23"/>
  <c r="C28" i="23"/>
  <c r="B29" i="23"/>
  <c r="B30" i="23"/>
  <c r="C30" i="23"/>
  <c r="B31" i="23"/>
  <c r="C31" i="23"/>
  <c r="B32" i="23"/>
  <c r="C32" i="23"/>
  <c r="B33" i="23"/>
  <c r="C33" i="23"/>
  <c r="B34" i="23"/>
  <c r="C34" i="23"/>
  <c r="B35" i="23"/>
  <c r="C35" i="23"/>
  <c r="B36" i="23"/>
  <c r="C36" i="23"/>
  <c r="B37" i="23"/>
  <c r="C37" i="23"/>
  <c r="D25" i="37"/>
  <c r="D27" i="48" s="1"/>
  <c r="V7" i="9" l="1"/>
  <c r="G25" i="23"/>
  <c r="I25" i="23"/>
  <c r="K25" i="23"/>
  <c r="M25" i="23"/>
  <c r="D25" i="20"/>
  <c r="D27" i="19" s="1"/>
  <c r="E25" i="23"/>
  <c r="S54" i="37" l="1"/>
  <c r="S3" i="37"/>
  <c r="R58" i="19"/>
  <c r="R54" i="20"/>
  <c r="R3" i="20" l="1"/>
  <c r="S50" i="36"/>
  <c r="B6" i="37"/>
  <c r="Y2" i="37"/>
  <c r="B6" i="36"/>
  <c r="S3" i="36"/>
  <c r="Y2" i="36"/>
  <c r="BE4" i="36" l="1"/>
  <c r="BC4" i="36"/>
  <c r="BA4" i="36"/>
  <c r="AY4" i="36"/>
  <c r="AW4" i="36"/>
  <c r="AU4" i="36"/>
  <c r="AS4" i="36"/>
  <c r="AQ4" i="36"/>
  <c r="AO4" i="36"/>
  <c r="BD4" i="36"/>
  <c r="AZ4" i="36"/>
  <c r="AV4" i="36"/>
  <c r="AR4" i="36"/>
  <c r="AN4" i="36"/>
  <c r="BB4" i="36"/>
  <c r="AX4" i="36"/>
  <c r="AT4" i="36"/>
  <c r="AP4" i="36"/>
  <c r="AJ4" i="37"/>
  <c r="BE4" i="37"/>
  <c r="BC4" i="37"/>
  <c r="BA4" i="37"/>
  <c r="AY4" i="37"/>
  <c r="AW4" i="37"/>
  <c r="AU4" i="37"/>
  <c r="AS4" i="37"/>
  <c r="AQ4" i="37"/>
  <c r="AO4" i="37"/>
  <c r="BD4" i="37"/>
  <c r="AZ4" i="37"/>
  <c r="AV4" i="37"/>
  <c r="AR4" i="37"/>
  <c r="AN4" i="37"/>
  <c r="BB4" i="37"/>
  <c r="AT4" i="37"/>
  <c r="AX4" i="37"/>
  <c r="AP4" i="37"/>
  <c r="U4" i="37"/>
  <c r="W4" i="37"/>
  <c r="Y4" i="37"/>
  <c r="AA4" i="37"/>
  <c r="AC4" i="37"/>
  <c r="AE4" i="37"/>
  <c r="AG4" i="37"/>
  <c r="AI4" i="37"/>
  <c r="AK4" i="37"/>
  <c r="T4" i="37"/>
  <c r="V4" i="37"/>
  <c r="X4" i="37"/>
  <c r="Z4" i="37"/>
  <c r="AB4" i="37"/>
  <c r="AD4" i="37"/>
  <c r="AF4" i="37"/>
  <c r="AH4" i="37"/>
  <c r="AJ4" i="36"/>
  <c r="AH4" i="36"/>
  <c r="AF4" i="36"/>
  <c r="AD4" i="36"/>
  <c r="AB4" i="36"/>
  <c r="Z4" i="36"/>
  <c r="X4" i="36"/>
  <c r="V4" i="36"/>
  <c r="T4" i="36"/>
  <c r="AK4" i="36"/>
  <c r="AI4" i="36"/>
  <c r="AG4" i="36"/>
  <c r="AE4" i="36"/>
  <c r="AC4" i="36"/>
  <c r="AA4" i="36"/>
  <c r="Y4" i="36"/>
  <c r="W4" i="36"/>
  <c r="U4" i="36"/>
  <c r="W6" i="36" l="1"/>
  <c r="W7" i="36"/>
  <c r="W8" i="36"/>
  <c r="W9" i="36"/>
  <c r="W10" i="36"/>
  <c r="W11" i="36"/>
  <c r="W12" i="36"/>
  <c r="W13" i="36"/>
  <c r="W14" i="36"/>
  <c r="W15" i="36"/>
  <c r="W16" i="36"/>
  <c r="W17" i="36"/>
  <c r="W18" i="36"/>
  <c r="W19" i="36"/>
  <c r="W20" i="36"/>
  <c r="W21" i="36"/>
  <c r="W22" i="36"/>
  <c r="W23" i="36"/>
  <c r="W24" i="36"/>
  <c r="W25" i="36"/>
  <c r="W26" i="36"/>
  <c r="W27" i="36"/>
  <c r="W28" i="36"/>
  <c r="W29" i="36"/>
  <c r="W30" i="36"/>
  <c r="W31" i="36"/>
  <c r="W32" i="36"/>
  <c r="W33" i="36"/>
  <c r="W34" i="36"/>
  <c r="W35" i="36"/>
  <c r="W36" i="36"/>
  <c r="W37" i="36"/>
  <c r="W38" i="36"/>
  <c r="W39" i="36"/>
  <c r="W40" i="36"/>
  <c r="W42" i="36"/>
  <c r="W43" i="36"/>
  <c r="W44" i="36"/>
  <c r="W45" i="36"/>
  <c r="W46" i="36"/>
  <c r="W47" i="36"/>
  <c r="AA6" i="36"/>
  <c r="AA7" i="36"/>
  <c r="AA8" i="36"/>
  <c r="AA9" i="36"/>
  <c r="AA10" i="36"/>
  <c r="AA11" i="36"/>
  <c r="AA12" i="36"/>
  <c r="AA13" i="36"/>
  <c r="AA14" i="36"/>
  <c r="AA15" i="36"/>
  <c r="AA16" i="36"/>
  <c r="AA17" i="36"/>
  <c r="AA18" i="36"/>
  <c r="AA19" i="36"/>
  <c r="AA20" i="36"/>
  <c r="AA21" i="36"/>
  <c r="AA22" i="36"/>
  <c r="AA23" i="36"/>
  <c r="AA24" i="36"/>
  <c r="AA25" i="36"/>
  <c r="AA26" i="36"/>
  <c r="AA27" i="36"/>
  <c r="AA28" i="36"/>
  <c r="AA29" i="36"/>
  <c r="AA30" i="36"/>
  <c r="AA31" i="36"/>
  <c r="AA32" i="36"/>
  <c r="AA33" i="36"/>
  <c r="AA34" i="36"/>
  <c r="AA35" i="36"/>
  <c r="AA36" i="36"/>
  <c r="AA37" i="36"/>
  <c r="AA38" i="36"/>
  <c r="AA39" i="36"/>
  <c r="AA40" i="36"/>
  <c r="AA42" i="36"/>
  <c r="AA43" i="36"/>
  <c r="AA44" i="36"/>
  <c r="AA45" i="36"/>
  <c r="AA46" i="36"/>
  <c r="AA47" i="36"/>
  <c r="AE6" i="36"/>
  <c r="AE7" i="36"/>
  <c r="AE8" i="36"/>
  <c r="AE9" i="36"/>
  <c r="AE10" i="36"/>
  <c r="AE11" i="36"/>
  <c r="AE12" i="36"/>
  <c r="AE13" i="36"/>
  <c r="AE14" i="36"/>
  <c r="AE15" i="36"/>
  <c r="AE16" i="36"/>
  <c r="AE17" i="36"/>
  <c r="AE18" i="36"/>
  <c r="AE19" i="36"/>
  <c r="AE20" i="36"/>
  <c r="AE21" i="36"/>
  <c r="AE22" i="36"/>
  <c r="AE23" i="36"/>
  <c r="AE24" i="36"/>
  <c r="AE25" i="36"/>
  <c r="AE26" i="36"/>
  <c r="AE27" i="36"/>
  <c r="AE28" i="36"/>
  <c r="AE29" i="36"/>
  <c r="AE30" i="36"/>
  <c r="AE31" i="36"/>
  <c r="AE32" i="36"/>
  <c r="AE33" i="36"/>
  <c r="AE34" i="36"/>
  <c r="AE35" i="36"/>
  <c r="AE36" i="36"/>
  <c r="AE37" i="36"/>
  <c r="AE38" i="36"/>
  <c r="AE39" i="36"/>
  <c r="AE40" i="36"/>
  <c r="AE42" i="36"/>
  <c r="AE43" i="36"/>
  <c r="AE44" i="36"/>
  <c r="AE45" i="36"/>
  <c r="AE46" i="36"/>
  <c r="AE47" i="36"/>
  <c r="AI6" i="36"/>
  <c r="AI7" i="36"/>
  <c r="AI8" i="36"/>
  <c r="AI9" i="36"/>
  <c r="AI10" i="36"/>
  <c r="AI11" i="36"/>
  <c r="AI12" i="36"/>
  <c r="AI13" i="36"/>
  <c r="AI14" i="36"/>
  <c r="AI15" i="36"/>
  <c r="AI16" i="36"/>
  <c r="AI17" i="36"/>
  <c r="AI18" i="36"/>
  <c r="AI19" i="36"/>
  <c r="AI20" i="36"/>
  <c r="AI21" i="36"/>
  <c r="AI22" i="36"/>
  <c r="AI23" i="36"/>
  <c r="AI24" i="36"/>
  <c r="AI25" i="36"/>
  <c r="AI26" i="36"/>
  <c r="AI27" i="36"/>
  <c r="AI28" i="36"/>
  <c r="AI29" i="36"/>
  <c r="AI30" i="36"/>
  <c r="AI31" i="36"/>
  <c r="AI32" i="36"/>
  <c r="AI33" i="36"/>
  <c r="AI34" i="36"/>
  <c r="AI35" i="36"/>
  <c r="AI36" i="36"/>
  <c r="AI37" i="36"/>
  <c r="AI38" i="36"/>
  <c r="AI39" i="36"/>
  <c r="AI40" i="36"/>
  <c r="AI42" i="36"/>
  <c r="AI43" i="36"/>
  <c r="AI44" i="36"/>
  <c r="AI45" i="36"/>
  <c r="AI46" i="36"/>
  <c r="AI47" i="36"/>
  <c r="T7" i="36"/>
  <c r="T9" i="36"/>
  <c r="T11" i="36"/>
  <c r="T13" i="36"/>
  <c r="T15" i="36"/>
  <c r="T17" i="36"/>
  <c r="T19" i="36"/>
  <c r="T21" i="36"/>
  <c r="T23" i="36"/>
  <c r="T25" i="36"/>
  <c r="T26" i="36"/>
  <c r="T27" i="36"/>
  <c r="T28" i="36"/>
  <c r="T29" i="36"/>
  <c r="T30" i="36"/>
  <c r="T31" i="36"/>
  <c r="T32" i="36"/>
  <c r="T33" i="36"/>
  <c r="T34" i="36"/>
  <c r="T35" i="36"/>
  <c r="T36" i="36"/>
  <c r="T37" i="36"/>
  <c r="T38" i="36"/>
  <c r="T39" i="36"/>
  <c r="T40" i="36"/>
  <c r="T42" i="36"/>
  <c r="T43" i="36"/>
  <c r="T44" i="36"/>
  <c r="T45" i="36"/>
  <c r="T46" i="36"/>
  <c r="T47" i="36"/>
  <c r="T6" i="36"/>
  <c r="T8" i="36"/>
  <c r="T10" i="36"/>
  <c r="T12" i="36"/>
  <c r="T14" i="36"/>
  <c r="T16" i="36"/>
  <c r="T18" i="36"/>
  <c r="T20" i="36"/>
  <c r="T22" i="36"/>
  <c r="T24" i="36"/>
  <c r="X7" i="36"/>
  <c r="X9" i="36"/>
  <c r="X11" i="36"/>
  <c r="X13" i="36"/>
  <c r="X15" i="36"/>
  <c r="X17" i="36"/>
  <c r="X19" i="36"/>
  <c r="X21" i="36"/>
  <c r="X23" i="36"/>
  <c r="X25" i="36"/>
  <c r="X26" i="36"/>
  <c r="X27" i="36"/>
  <c r="X28" i="36"/>
  <c r="X29" i="36"/>
  <c r="X30" i="36"/>
  <c r="X31" i="36"/>
  <c r="X32" i="36"/>
  <c r="X33" i="36"/>
  <c r="X34" i="36"/>
  <c r="X35" i="36"/>
  <c r="X36" i="36"/>
  <c r="X37" i="36"/>
  <c r="X38" i="36"/>
  <c r="X39" i="36"/>
  <c r="X40" i="36"/>
  <c r="X42" i="36"/>
  <c r="X43" i="36"/>
  <c r="X44" i="36"/>
  <c r="X45" i="36"/>
  <c r="X46" i="36"/>
  <c r="X47" i="36"/>
  <c r="X6" i="36"/>
  <c r="X8" i="36"/>
  <c r="X10" i="36"/>
  <c r="X12" i="36"/>
  <c r="X14" i="36"/>
  <c r="X16" i="36"/>
  <c r="X18" i="36"/>
  <c r="X20" i="36"/>
  <c r="X22" i="36"/>
  <c r="X24" i="36"/>
  <c r="AB7" i="36"/>
  <c r="AB9" i="36"/>
  <c r="AB11" i="36"/>
  <c r="AB13" i="36"/>
  <c r="AB15" i="36"/>
  <c r="AB17" i="36"/>
  <c r="AB19" i="36"/>
  <c r="AB21" i="36"/>
  <c r="AB23" i="36"/>
  <c r="AB25" i="36"/>
  <c r="AB26" i="36"/>
  <c r="AB27" i="36"/>
  <c r="AB28" i="36"/>
  <c r="AB29" i="36"/>
  <c r="AB30" i="36"/>
  <c r="AB31" i="36"/>
  <c r="AB32" i="36"/>
  <c r="AB33" i="36"/>
  <c r="AB34" i="36"/>
  <c r="AB35" i="36"/>
  <c r="AB36" i="36"/>
  <c r="AB37" i="36"/>
  <c r="AB38" i="36"/>
  <c r="AB39" i="36"/>
  <c r="AB40" i="36"/>
  <c r="AB42" i="36"/>
  <c r="AB43" i="36"/>
  <c r="AB44" i="36"/>
  <c r="AB45" i="36"/>
  <c r="AB46" i="36"/>
  <c r="AB47" i="36"/>
  <c r="AB6" i="36"/>
  <c r="AB8" i="36"/>
  <c r="AB10" i="36"/>
  <c r="AB12" i="36"/>
  <c r="AB14" i="36"/>
  <c r="AB16" i="36"/>
  <c r="AB18" i="36"/>
  <c r="AB20" i="36"/>
  <c r="AB22" i="36"/>
  <c r="AB24" i="36"/>
  <c r="AF7" i="36"/>
  <c r="AF9" i="36"/>
  <c r="AF11" i="36"/>
  <c r="AF13" i="36"/>
  <c r="AF15" i="36"/>
  <c r="AF17" i="36"/>
  <c r="AF19" i="36"/>
  <c r="AF21" i="36"/>
  <c r="AF23" i="36"/>
  <c r="AF24" i="36"/>
  <c r="AF25" i="36"/>
  <c r="AF26" i="36"/>
  <c r="AF27" i="36"/>
  <c r="AF28" i="36"/>
  <c r="AF29" i="36"/>
  <c r="AF30" i="36"/>
  <c r="AF31" i="36"/>
  <c r="AF32" i="36"/>
  <c r="AF33" i="36"/>
  <c r="AF34" i="36"/>
  <c r="AF35" i="36"/>
  <c r="AF36" i="36"/>
  <c r="AF37" i="36"/>
  <c r="AF38" i="36"/>
  <c r="AF39" i="36"/>
  <c r="AF40" i="36"/>
  <c r="AF42" i="36"/>
  <c r="AF43" i="36"/>
  <c r="AF44" i="36"/>
  <c r="AF45" i="36"/>
  <c r="AF46" i="36"/>
  <c r="AF47" i="36"/>
  <c r="AF6" i="36"/>
  <c r="AF8" i="36"/>
  <c r="AF10" i="36"/>
  <c r="AF12" i="36"/>
  <c r="AF14" i="36"/>
  <c r="AF16" i="36"/>
  <c r="AF18" i="36"/>
  <c r="AF20" i="36"/>
  <c r="AF22" i="36"/>
  <c r="AJ7" i="36"/>
  <c r="AJ9" i="36"/>
  <c r="AJ11" i="36"/>
  <c r="AJ13" i="36"/>
  <c r="AJ15" i="36"/>
  <c r="AJ17" i="36"/>
  <c r="AJ19" i="36"/>
  <c r="AJ21" i="36"/>
  <c r="AJ23" i="36"/>
  <c r="AJ24" i="36"/>
  <c r="AJ25" i="36"/>
  <c r="AJ26" i="36"/>
  <c r="AJ27" i="36"/>
  <c r="AJ28" i="36"/>
  <c r="AJ29" i="36"/>
  <c r="AJ30" i="36"/>
  <c r="AJ31" i="36"/>
  <c r="AJ32" i="36"/>
  <c r="AJ33" i="36"/>
  <c r="AJ34" i="36"/>
  <c r="AJ35" i="36"/>
  <c r="AJ36" i="36"/>
  <c r="AJ37" i="36"/>
  <c r="AJ38" i="36"/>
  <c r="AJ39" i="36"/>
  <c r="AJ40" i="36"/>
  <c r="AJ42" i="36"/>
  <c r="AJ43" i="36"/>
  <c r="AJ44" i="36"/>
  <c r="AJ45" i="36"/>
  <c r="AJ46" i="36"/>
  <c r="AJ47" i="36"/>
  <c r="AJ6" i="36"/>
  <c r="AJ8" i="36"/>
  <c r="AJ10" i="36"/>
  <c r="AJ12" i="36"/>
  <c r="AJ14" i="36"/>
  <c r="AJ16" i="36"/>
  <c r="AJ18" i="36"/>
  <c r="AJ20" i="36"/>
  <c r="AJ22" i="36"/>
  <c r="AF6" i="37"/>
  <c r="AF7" i="37"/>
  <c r="AF8" i="37"/>
  <c r="AF9" i="37"/>
  <c r="AF10" i="37"/>
  <c r="AF11" i="37"/>
  <c r="AF12" i="37"/>
  <c r="AF13" i="37"/>
  <c r="AF14" i="37"/>
  <c r="AF15" i="37"/>
  <c r="AF16" i="37"/>
  <c r="AF17" i="37"/>
  <c r="AF18" i="37"/>
  <c r="AF19" i="37"/>
  <c r="AF20" i="37"/>
  <c r="AF21" i="37"/>
  <c r="AF22" i="37"/>
  <c r="AF23" i="37"/>
  <c r="AF24" i="37"/>
  <c r="AF25" i="37"/>
  <c r="AF26" i="37"/>
  <c r="AF27" i="37"/>
  <c r="AF28" i="37"/>
  <c r="AF30" i="37"/>
  <c r="AF32" i="37"/>
  <c r="AF34" i="37"/>
  <c r="AF36" i="37"/>
  <c r="AF38" i="37"/>
  <c r="AF40" i="37"/>
  <c r="AF42" i="37"/>
  <c r="AF45" i="37"/>
  <c r="AF47" i="37"/>
  <c r="AF49" i="37"/>
  <c r="AF51" i="37"/>
  <c r="AF31" i="37"/>
  <c r="AF35" i="37"/>
  <c r="AF39" i="37"/>
  <c r="AF44" i="37"/>
  <c r="AF48" i="37"/>
  <c r="AF29" i="37"/>
  <c r="AF33" i="37"/>
  <c r="AF37" i="37"/>
  <c r="AF41" i="37"/>
  <c r="AF46" i="37"/>
  <c r="AF50" i="37"/>
  <c r="AB6" i="37"/>
  <c r="AB7" i="37"/>
  <c r="AB8" i="37"/>
  <c r="AB9" i="37"/>
  <c r="AB10" i="37"/>
  <c r="AB11" i="37"/>
  <c r="AB12" i="37"/>
  <c r="AB13" i="37"/>
  <c r="AB14" i="37"/>
  <c r="AB15" i="37"/>
  <c r="AB16" i="37"/>
  <c r="AB17" i="37"/>
  <c r="AB18" i="37"/>
  <c r="AB19" i="37"/>
  <c r="AB20" i="37"/>
  <c r="AB21" i="37"/>
  <c r="AB22" i="37"/>
  <c r="AB23" i="37"/>
  <c r="AB24" i="37"/>
  <c r="AB25" i="37"/>
  <c r="AB26" i="37"/>
  <c r="AB27" i="37"/>
  <c r="AB28" i="37"/>
  <c r="AB30" i="37"/>
  <c r="AB32" i="37"/>
  <c r="AB34" i="37"/>
  <c r="AB36" i="37"/>
  <c r="AB38" i="37"/>
  <c r="AB40" i="37"/>
  <c r="AB42" i="37"/>
  <c r="AB45" i="37"/>
  <c r="AB47" i="37"/>
  <c r="AB49" i="37"/>
  <c r="AB51" i="37"/>
  <c r="AB29" i="37"/>
  <c r="AB33" i="37"/>
  <c r="AB37" i="37"/>
  <c r="AB41" i="37"/>
  <c r="AB46" i="37"/>
  <c r="AB50" i="37"/>
  <c r="AB31" i="37"/>
  <c r="AB35" i="37"/>
  <c r="AB39" i="37"/>
  <c r="AB44" i="37"/>
  <c r="AB48" i="37"/>
  <c r="X6" i="37"/>
  <c r="X7" i="37"/>
  <c r="X8" i="37"/>
  <c r="X9" i="37"/>
  <c r="X10" i="37"/>
  <c r="X11" i="37"/>
  <c r="X12" i="37"/>
  <c r="X13" i="37"/>
  <c r="X14" i="37"/>
  <c r="X15" i="37"/>
  <c r="X16" i="37"/>
  <c r="X17" i="37"/>
  <c r="X18" i="37"/>
  <c r="X19" i="37"/>
  <c r="X20" i="37"/>
  <c r="X21" i="37"/>
  <c r="X22" i="37"/>
  <c r="X23" i="37"/>
  <c r="X24" i="37"/>
  <c r="X25" i="37"/>
  <c r="X26" i="37"/>
  <c r="X27" i="37"/>
  <c r="X28" i="37"/>
  <c r="X30" i="37"/>
  <c r="X32" i="37"/>
  <c r="X34" i="37"/>
  <c r="X36" i="37"/>
  <c r="X38" i="37"/>
  <c r="X40" i="37"/>
  <c r="X42" i="37"/>
  <c r="X45" i="37"/>
  <c r="X47" i="37"/>
  <c r="X49" i="37"/>
  <c r="X51" i="37"/>
  <c r="X31" i="37"/>
  <c r="X35" i="37"/>
  <c r="X39" i="37"/>
  <c r="X44" i="37"/>
  <c r="X48" i="37"/>
  <c r="X29" i="37"/>
  <c r="X33" i="37"/>
  <c r="X37" i="37"/>
  <c r="X41" i="37"/>
  <c r="X46" i="37"/>
  <c r="X50" i="37"/>
  <c r="T6" i="37"/>
  <c r="T7" i="37"/>
  <c r="T8" i="37"/>
  <c r="T9" i="37"/>
  <c r="T10" i="37"/>
  <c r="T11" i="37"/>
  <c r="T12" i="37"/>
  <c r="T13" i="37"/>
  <c r="T14" i="37"/>
  <c r="T15" i="37"/>
  <c r="T16" i="37"/>
  <c r="T17" i="37"/>
  <c r="T18" i="37"/>
  <c r="T19" i="37"/>
  <c r="T20" i="37"/>
  <c r="T21" i="37"/>
  <c r="T22" i="37"/>
  <c r="T23" i="37"/>
  <c r="T24" i="37"/>
  <c r="T25" i="37"/>
  <c r="T26" i="37"/>
  <c r="T27" i="37"/>
  <c r="T28" i="37"/>
  <c r="T30" i="37"/>
  <c r="T32" i="37"/>
  <c r="T34" i="37"/>
  <c r="T36" i="37"/>
  <c r="T38" i="37"/>
  <c r="T40" i="37"/>
  <c r="T42" i="37"/>
  <c r="T45" i="37"/>
  <c r="T47" i="37"/>
  <c r="T49" i="37"/>
  <c r="T51" i="37"/>
  <c r="T29" i="37"/>
  <c r="T33" i="37"/>
  <c r="T37" i="37"/>
  <c r="T41" i="37"/>
  <c r="T46" i="37"/>
  <c r="T50" i="37"/>
  <c r="T31" i="37"/>
  <c r="T35" i="37"/>
  <c r="T39" i="37"/>
  <c r="T44" i="37"/>
  <c r="T48" i="37"/>
  <c r="AI6" i="37"/>
  <c r="AI7" i="37"/>
  <c r="AI8" i="37"/>
  <c r="AI9" i="37"/>
  <c r="AI10" i="37"/>
  <c r="AI11" i="37"/>
  <c r="AI12" i="37"/>
  <c r="AI13" i="37"/>
  <c r="AI14" i="37"/>
  <c r="AI15" i="37"/>
  <c r="AI16" i="37"/>
  <c r="AI17" i="37"/>
  <c r="AI18" i="37"/>
  <c r="AI19" i="37"/>
  <c r="AI20" i="37"/>
  <c r="AI21" i="37"/>
  <c r="AI22" i="37"/>
  <c r="AI23" i="37"/>
  <c r="AI24" i="37"/>
  <c r="AI25" i="37"/>
  <c r="AI26" i="37"/>
  <c r="AI27" i="37"/>
  <c r="AI28" i="37"/>
  <c r="AI29" i="37"/>
  <c r="AI30" i="37"/>
  <c r="AI31" i="37"/>
  <c r="AI32" i="37"/>
  <c r="AI33" i="37"/>
  <c r="AI34" i="37"/>
  <c r="AI35" i="37"/>
  <c r="AI36" i="37"/>
  <c r="AI37" i="37"/>
  <c r="AI38" i="37"/>
  <c r="AI39" i="37"/>
  <c r="AI40" i="37"/>
  <c r="AI41" i="37"/>
  <c r="AI42" i="37"/>
  <c r="AI44" i="37"/>
  <c r="AI45" i="37"/>
  <c r="AI46" i="37"/>
  <c r="AI47" i="37"/>
  <c r="AI48" i="37"/>
  <c r="AI49" i="37"/>
  <c r="AI50" i="37"/>
  <c r="AI51" i="37"/>
  <c r="AE6" i="37"/>
  <c r="AE7" i="37"/>
  <c r="AE8" i="37"/>
  <c r="AE9" i="37"/>
  <c r="AE10" i="37"/>
  <c r="AE11" i="37"/>
  <c r="AE12" i="37"/>
  <c r="AE13" i="37"/>
  <c r="AE14" i="37"/>
  <c r="AE15" i="37"/>
  <c r="AE16" i="37"/>
  <c r="AE17" i="37"/>
  <c r="AE18" i="37"/>
  <c r="AE19" i="37"/>
  <c r="AE20" i="37"/>
  <c r="AE21" i="37"/>
  <c r="AE22" i="37"/>
  <c r="AE23" i="37"/>
  <c r="AE24" i="37"/>
  <c r="AE25" i="37"/>
  <c r="AE26" i="37"/>
  <c r="AE27" i="37"/>
  <c r="AE28" i="37"/>
  <c r="AE29" i="37"/>
  <c r="AE30" i="37"/>
  <c r="AE31" i="37"/>
  <c r="AE32" i="37"/>
  <c r="AE33" i="37"/>
  <c r="AE34" i="37"/>
  <c r="AE35" i="37"/>
  <c r="AE36" i="37"/>
  <c r="AE37" i="37"/>
  <c r="AE38" i="37"/>
  <c r="AE39" i="37"/>
  <c r="AE40" i="37"/>
  <c r="AE41" i="37"/>
  <c r="AE42" i="37"/>
  <c r="AE44" i="37"/>
  <c r="AE45" i="37"/>
  <c r="AE46" i="37"/>
  <c r="AE47" i="37"/>
  <c r="AE48" i="37"/>
  <c r="AE49" i="37"/>
  <c r="AE50" i="37"/>
  <c r="AE51" i="37"/>
  <c r="AA6" i="37"/>
  <c r="AA7" i="37"/>
  <c r="AA8" i="37"/>
  <c r="AA9" i="37"/>
  <c r="AA10" i="37"/>
  <c r="AA11" i="37"/>
  <c r="AA12" i="37"/>
  <c r="AA13" i="37"/>
  <c r="AA14" i="37"/>
  <c r="AA15" i="37"/>
  <c r="AA16" i="37"/>
  <c r="AA17" i="37"/>
  <c r="AA18" i="37"/>
  <c r="AA19" i="37"/>
  <c r="AA20" i="37"/>
  <c r="AA21" i="37"/>
  <c r="AA22" i="37"/>
  <c r="AA23" i="37"/>
  <c r="AA24" i="37"/>
  <c r="AA25" i="37"/>
  <c r="AA26" i="37"/>
  <c r="AA27" i="37"/>
  <c r="AA28" i="37"/>
  <c r="AA29" i="37"/>
  <c r="AA30" i="37"/>
  <c r="AA31" i="37"/>
  <c r="AA32" i="37"/>
  <c r="AA33" i="37"/>
  <c r="AA34" i="37"/>
  <c r="AA35" i="37"/>
  <c r="AA36" i="37"/>
  <c r="AA37" i="37"/>
  <c r="AA38" i="37"/>
  <c r="AA39" i="37"/>
  <c r="AA40" i="37"/>
  <c r="AA41" i="37"/>
  <c r="AA42" i="37"/>
  <c r="AA44" i="37"/>
  <c r="AA45" i="37"/>
  <c r="AA46" i="37"/>
  <c r="AA47" i="37"/>
  <c r="AA48" i="37"/>
  <c r="AA49" i="37"/>
  <c r="AA50" i="37"/>
  <c r="AA51" i="37"/>
  <c r="W6" i="37"/>
  <c r="W7" i="37"/>
  <c r="W8" i="37"/>
  <c r="W9" i="37"/>
  <c r="W10" i="37"/>
  <c r="W11" i="37"/>
  <c r="W12" i="37"/>
  <c r="W13" i="37"/>
  <c r="W14" i="37"/>
  <c r="W15" i="37"/>
  <c r="W16" i="37"/>
  <c r="W17" i="37"/>
  <c r="W18" i="37"/>
  <c r="W19" i="37"/>
  <c r="W20" i="37"/>
  <c r="W21" i="37"/>
  <c r="W22" i="37"/>
  <c r="W23" i="37"/>
  <c r="W24" i="37"/>
  <c r="W25" i="37"/>
  <c r="W26" i="37"/>
  <c r="W27" i="37"/>
  <c r="W28" i="37"/>
  <c r="W29" i="37"/>
  <c r="W30" i="37"/>
  <c r="W31" i="37"/>
  <c r="W32" i="37"/>
  <c r="W33" i="37"/>
  <c r="W34" i="37"/>
  <c r="W35" i="37"/>
  <c r="W36" i="37"/>
  <c r="W37" i="37"/>
  <c r="W38" i="37"/>
  <c r="W39" i="37"/>
  <c r="W40" i="37"/>
  <c r="W41" i="37"/>
  <c r="W42" i="37"/>
  <c r="W44" i="37"/>
  <c r="W45" i="37"/>
  <c r="W46" i="37"/>
  <c r="W47" i="37"/>
  <c r="W48" i="37"/>
  <c r="W49" i="37"/>
  <c r="W50" i="37"/>
  <c r="W51" i="37"/>
  <c r="AX6" i="37"/>
  <c r="AX8" i="37"/>
  <c r="AX10" i="37"/>
  <c r="AX12" i="37"/>
  <c r="AX14" i="37"/>
  <c r="AX15" i="37"/>
  <c r="AX16" i="37"/>
  <c r="AX17" i="37"/>
  <c r="AX18" i="37"/>
  <c r="AX19" i="37"/>
  <c r="AX20" i="37"/>
  <c r="AX21" i="37"/>
  <c r="AX22" i="37"/>
  <c r="AX23" i="37"/>
  <c r="AX24" i="37"/>
  <c r="AX25" i="37"/>
  <c r="AX26" i="37"/>
  <c r="AX27" i="37"/>
  <c r="AX28" i="37"/>
  <c r="AX9" i="37"/>
  <c r="AX13" i="37"/>
  <c r="AX7" i="37"/>
  <c r="AX11" i="37"/>
  <c r="AX29" i="37"/>
  <c r="AX30" i="37"/>
  <c r="AX31" i="37"/>
  <c r="AX32" i="37"/>
  <c r="AX33" i="37"/>
  <c r="AX34" i="37"/>
  <c r="AX35" i="37"/>
  <c r="AX36" i="37"/>
  <c r="AX37" i="37"/>
  <c r="AX38" i="37"/>
  <c r="AX39" i="37"/>
  <c r="AX40" i="37"/>
  <c r="AX41" i="37"/>
  <c r="AX42" i="37"/>
  <c r="AX44" i="37"/>
  <c r="AX45" i="37"/>
  <c r="AX46" i="37"/>
  <c r="AX47" i="37"/>
  <c r="AX48" i="37"/>
  <c r="AX49" i="37"/>
  <c r="AX50" i="37"/>
  <c r="AX51" i="37"/>
  <c r="BB6" i="37"/>
  <c r="BB8" i="37"/>
  <c r="BB10" i="37"/>
  <c r="BB12" i="37"/>
  <c r="BB14" i="37"/>
  <c r="BB15" i="37"/>
  <c r="BB16" i="37"/>
  <c r="BB17" i="37"/>
  <c r="BB18" i="37"/>
  <c r="BB19" i="37"/>
  <c r="BB20" i="37"/>
  <c r="BB21" i="37"/>
  <c r="BB22" i="37"/>
  <c r="BB23" i="37"/>
  <c r="BB24" i="37"/>
  <c r="BB25" i="37"/>
  <c r="BB26" i="37"/>
  <c r="BB27" i="37"/>
  <c r="BB28" i="37"/>
  <c r="BB7" i="37"/>
  <c r="BB11" i="37"/>
  <c r="BB9" i="37"/>
  <c r="BB13" i="37"/>
  <c r="BB29" i="37"/>
  <c r="BB30" i="37"/>
  <c r="BB31" i="37"/>
  <c r="BB32" i="37"/>
  <c r="BB33" i="37"/>
  <c r="BB34" i="37"/>
  <c r="BB35" i="37"/>
  <c r="BB36" i="37"/>
  <c r="BB37" i="37"/>
  <c r="BB38" i="37"/>
  <c r="BB39" i="37"/>
  <c r="BB40" i="37"/>
  <c r="BB41" i="37"/>
  <c r="BB42" i="37"/>
  <c r="BB44" i="37"/>
  <c r="BB45" i="37"/>
  <c r="BB46" i="37"/>
  <c r="BB47" i="37"/>
  <c r="BB48" i="37"/>
  <c r="BB49" i="37"/>
  <c r="BB50" i="37"/>
  <c r="BB51" i="37"/>
  <c r="AR7" i="37"/>
  <c r="AR9" i="37"/>
  <c r="AR11" i="37"/>
  <c r="AR13" i="37"/>
  <c r="AR15" i="37"/>
  <c r="AR16" i="37"/>
  <c r="AR17" i="37"/>
  <c r="AR18" i="37"/>
  <c r="AR19" i="37"/>
  <c r="AR20" i="37"/>
  <c r="AR21" i="37"/>
  <c r="AR22" i="37"/>
  <c r="AR23" i="37"/>
  <c r="AR24" i="37"/>
  <c r="AR25" i="37"/>
  <c r="AR26" i="37"/>
  <c r="AR27" i="37"/>
  <c r="AR28" i="37"/>
  <c r="AR8" i="37"/>
  <c r="AR12" i="37"/>
  <c r="AR6" i="37"/>
  <c r="AR10" i="37"/>
  <c r="AR14" i="37"/>
  <c r="AR29" i="37"/>
  <c r="AR30" i="37"/>
  <c r="AR31" i="37"/>
  <c r="AR32" i="37"/>
  <c r="AR33" i="37"/>
  <c r="AR34" i="37"/>
  <c r="AR35" i="37"/>
  <c r="AR36" i="37"/>
  <c r="AR37" i="37"/>
  <c r="AR38" i="37"/>
  <c r="AR39" i="37"/>
  <c r="AR40" i="37"/>
  <c r="AR41" i="37"/>
  <c r="AR42" i="37"/>
  <c r="AR44" i="37"/>
  <c r="AR45" i="37"/>
  <c r="AR46" i="37"/>
  <c r="AR47" i="37"/>
  <c r="AR48" i="37"/>
  <c r="AR49" i="37"/>
  <c r="AR50" i="37"/>
  <c r="AR51" i="37"/>
  <c r="AZ7" i="37"/>
  <c r="AZ9" i="37"/>
  <c r="AZ11" i="37"/>
  <c r="AZ13" i="37"/>
  <c r="AZ15" i="37"/>
  <c r="AZ16" i="37"/>
  <c r="AZ17" i="37"/>
  <c r="AZ18" i="37"/>
  <c r="AZ19" i="37"/>
  <c r="AZ20" i="37"/>
  <c r="AZ21" i="37"/>
  <c r="AZ22" i="37"/>
  <c r="AZ23" i="37"/>
  <c r="AZ24" i="37"/>
  <c r="AZ25" i="37"/>
  <c r="AZ26" i="37"/>
  <c r="AZ27" i="37"/>
  <c r="AZ28" i="37"/>
  <c r="AZ8" i="37"/>
  <c r="AZ12" i="37"/>
  <c r="AZ6" i="37"/>
  <c r="AZ10" i="37"/>
  <c r="AZ14" i="37"/>
  <c r="AZ29" i="37"/>
  <c r="AZ30" i="37"/>
  <c r="AZ31" i="37"/>
  <c r="AZ32" i="37"/>
  <c r="AZ33" i="37"/>
  <c r="AZ34" i="37"/>
  <c r="AZ35" i="37"/>
  <c r="AZ36" i="37"/>
  <c r="AZ37" i="37"/>
  <c r="AZ38" i="37"/>
  <c r="AZ39" i="37"/>
  <c r="AZ40" i="37"/>
  <c r="AZ41" i="37"/>
  <c r="AZ42" i="37"/>
  <c r="AZ44" i="37"/>
  <c r="AZ45" i="37"/>
  <c r="AZ46" i="37"/>
  <c r="AZ47" i="37"/>
  <c r="AZ48" i="37"/>
  <c r="AZ49" i="37"/>
  <c r="AZ50" i="37"/>
  <c r="AZ51" i="37"/>
  <c r="AO6" i="37"/>
  <c r="AO7" i="37"/>
  <c r="AO8" i="37"/>
  <c r="AO9" i="37"/>
  <c r="AO10" i="37"/>
  <c r="AO11" i="37"/>
  <c r="AO12" i="37"/>
  <c r="AO13" i="37"/>
  <c r="AO14" i="37"/>
  <c r="AO15" i="37"/>
  <c r="AO16" i="37"/>
  <c r="AO18" i="37"/>
  <c r="AO20" i="37"/>
  <c r="AO22" i="37"/>
  <c r="AO24" i="37"/>
  <c r="AO26" i="37"/>
  <c r="AO28" i="37"/>
  <c r="AO17" i="37"/>
  <c r="AO19" i="37"/>
  <c r="AO21" i="37"/>
  <c r="AO23" i="37"/>
  <c r="AO25" i="37"/>
  <c r="AO27" i="37"/>
  <c r="AO29" i="37"/>
  <c r="AO31" i="37"/>
  <c r="AO33" i="37"/>
  <c r="AO35" i="37"/>
  <c r="AO37" i="37"/>
  <c r="AO39" i="37"/>
  <c r="AO41" i="37"/>
  <c r="AO44" i="37"/>
  <c r="AO46" i="37"/>
  <c r="AO48" i="37"/>
  <c r="AO30" i="37"/>
  <c r="AO32" i="37"/>
  <c r="AO34" i="37"/>
  <c r="AO36" i="37"/>
  <c r="AO38" i="37"/>
  <c r="AO40" i="37"/>
  <c r="AO42" i="37"/>
  <c r="AO45" i="37"/>
  <c r="AO47" i="37"/>
  <c r="AO49" i="37"/>
  <c r="AO50" i="37"/>
  <c r="AO51" i="37"/>
  <c r="AS6" i="37"/>
  <c r="AS7" i="37"/>
  <c r="AS8" i="37"/>
  <c r="AS9" i="37"/>
  <c r="AS10" i="37"/>
  <c r="AS11" i="37"/>
  <c r="AS12" i="37"/>
  <c r="AS13" i="37"/>
  <c r="AS14" i="37"/>
  <c r="AS15" i="37"/>
  <c r="AS16" i="37"/>
  <c r="AS18" i="37"/>
  <c r="AS20" i="37"/>
  <c r="AS22" i="37"/>
  <c r="AS24" i="37"/>
  <c r="AS26" i="37"/>
  <c r="AS28" i="37"/>
  <c r="AS17" i="37"/>
  <c r="AS19" i="37"/>
  <c r="AS21" i="37"/>
  <c r="AS23" i="37"/>
  <c r="AS25" i="37"/>
  <c r="AS27" i="37"/>
  <c r="AS29" i="37"/>
  <c r="AS31" i="37"/>
  <c r="AS33" i="37"/>
  <c r="AS35" i="37"/>
  <c r="AS37" i="37"/>
  <c r="AS39" i="37"/>
  <c r="AS41" i="37"/>
  <c r="AS44" i="37"/>
  <c r="AS46" i="37"/>
  <c r="AS30" i="37"/>
  <c r="AS32" i="37"/>
  <c r="AS34" i="37"/>
  <c r="AS36" i="37"/>
  <c r="AS38" i="37"/>
  <c r="AS40" i="37"/>
  <c r="AS42" i="37"/>
  <c r="AS45" i="37"/>
  <c r="AS47" i="37"/>
  <c r="AS48" i="37"/>
  <c r="AS49" i="37"/>
  <c r="AS50" i="37"/>
  <c r="AS51" i="37"/>
  <c r="AW6" i="37"/>
  <c r="AW7" i="37"/>
  <c r="AW8" i="37"/>
  <c r="AW9" i="37"/>
  <c r="AW10" i="37"/>
  <c r="AW11" i="37"/>
  <c r="AW12" i="37"/>
  <c r="AW13" i="37"/>
  <c r="AW14" i="37"/>
  <c r="AW16" i="37"/>
  <c r="AW18" i="37"/>
  <c r="AW20" i="37"/>
  <c r="AW22" i="37"/>
  <c r="AW24" i="37"/>
  <c r="AW26" i="37"/>
  <c r="AW28" i="37"/>
  <c r="AW15" i="37"/>
  <c r="AW17" i="37"/>
  <c r="AW19" i="37"/>
  <c r="AW21" i="37"/>
  <c r="AW23" i="37"/>
  <c r="AW25" i="37"/>
  <c r="AW27" i="37"/>
  <c r="AW29" i="37"/>
  <c r="AW31" i="37"/>
  <c r="AW33" i="37"/>
  <c r="AW35" i="37"/>
  <c r="AW37" i="37"/>
  <c r="AW39" i="37"/>
  <c r="AW41" i="37"/>
  <c r="AW44" i="37"/>
  <c r="AW46" i="37"/>
  <c r="AW30" i="37"/>
  <c r="AW32" i="37"/>
  <c r="AW34" i="37"/>
  <c r="AW36" i="37"/>
  <c r="AW38" i="37"/>
  <c r="AW40" i="37"/>
  <c r="AW42" i="37"/>
  <c r="AW45" i="37"/>
  <c r="AW47" i="37"/>
  <c r="AW48" i="37"/>
  <c r="AW49" i="37"/>
  <c r="AW50" i="37"/>
  <c r="AW51" i="37"/>
  <c r="BA6" i="37"/>
  <c r="BA7" i="37"/>
  <c r="BA8" i="37"/>
  <c r="BA9" i="37"/>
  <c r="BA10" i="37"/>
  <c r="BA11" i="37"/>
  <c r="BA12" i="37"/>
  <c r="BA13" i="37"/>
  <c r="BA14" i="37"/>
  <c r="BA16" i="37"/>
  <c r="BA18" i="37"/>
  <c r="BA20" i="37"/>
  <c r="BA22" i="37"/>
  <c r="BA24" i="37"/>
  <c r="BA26" i="37"/>
  <c r="BA28" i="37"/>
  <c r="BA15" i="37"/>
  <c r="BA17" i="37"/>
  <c r="BA19" i="37"/>
  <c r="BA21" i="37"/>
  <c r="BA23" i="37"/>
  <c r="BA25" i="37"/>
  <c r="BA27" i="37"/>
  <c r="BA29" i="37"/>
  <c r="BA31" i="37"/>
  <c r="BA33" i="37"/>
  <c r="BA35" i="37"/>
  <c r="BA37" i="37"/>
  <c r="BA39" i="37"/>
  <c r="BA41" i="37"/>
  <c r="BA44" i="37"/>
  <c r="BA46" i="37"/>
  <c r="BA30" i="37"/>
  <c r="BA32" i="37"/>
  <c r="BA34" i="37"/>
  <c r="BA36" i="37"/>
  <c r="BA38" i="37"/>
  <c r="BA40" i="37"/>
  <c r="BA42" i="37"/>
  <c r="BA45" i="37"/>
  <c r="BA47" i="37"/>
  <c r="BA48" i="37"/>
  <c r="BA49" i="37"/>
  <c r="BA50" i="37"/>
  <c r="BA51" i="37"/>
  <c r="BE6" i="37"/>
  <c r="BE7" i="37"/>
  <c r="BE8" i="37"/>
  <c r="BE9" i="37"/>
  <c r="BE10" i="37"/>
  <c r="BE11" i="37"/>
  <c r="BE12" i="37"/>
  <c r="BE13" i="37"/>
  <c r="BE14" i="37"/>
  <c r="BE16" i="37"/>
  <c r="BE18" i="37"/>
  <c r="BE20" i="37"/>
  <c r="BE22" i="37"/>
  <c r="BE24" i="37"/>
  <c r="BE26" i="37"/>
  <c r="BE28" i="37"/>
  <c r="BE15" i="37"/>
  <c r="BE17" i="37"/>
  <c r="BE19" i="37"/>
  <c r="BE21" i="37"/>
  <c r="BE23" i="37"/>
  <c r="BE25" i="37"/>
  <c r="BE27" i="37"/>
  <c r="BE29" i="37"/>
  <c r="BE31" i="37"/>
  <c r="BE33" i="37"/>
  <c r="BE35" i="37"/>
  <c r="BE37" i="37"/>
  <c r="BE39" i="37"/>
  <c r="BE41" i="37"/>
  <c r="BE44" i="37"/>
  <c r="BE46" i="37"/>
  <c r="BE30" i="37"/>
  <c r="BE32" i="37"/>
  <c r="BE34" i="37"/>
  <c r="BE36" i="37"/>
  <c r="BE38" i="37"/>
  <c r="BE40" i="37"/>
  <c r="BE42" i="37"/>
  <c r="BE45" i="37"/>
  <c r="BE47" i="37"/>
  <c r="BE48" i="37"/>
  <c r="BE49" i="37"/>
  <c r="BE50" i="37"/>
  <c r="BE51" i="37"/>
  <c r="AP7" i="36"/>
  <c r="AP9" i="36"/>
  <c r="AP11" i="36"/>
  <c r="AP13" i="36"/>
  <c r="AP15" i="36"/>
  <c r="AP17" i="36"/>
  <c r="AP18" i="36"/>
  <c r="AP19" i="36"/>
  <c r="AP20" i="36"/>
  <c r="AP21" i="36"/>
  <c r="AP22" i="36"/>
  <c r="AP23" i="36"/>
  <c r="AP24" i="36"/>
  <c r="AP25" i="36"/>
  <c r="AP26" i="36"/>
  <c r="AP27" i="36"/>
  <c r="AP28" i="36"/>
  <c r="AP29" i="36"/>
  <c r="AP30" i="36"/>
  <c r="AP31" i="36"/>
  <c r="AP32" i="36"/>
  <c r="AP33" i="36"/>
  <c r="AP34" i="36"/>
  <c r="AP35" i="36"/>
  <c r="AP36" i="36"/>
  <c r="AP37" i="36"/>
  <c r="AP38" i="36"/>
  <c r="AP39" i="36"/>
  <c r="AP40" i="36"/>
  <c r="AP42" i="36"/>
  <c r="AP43" i="36"/>
  <c r="AP44" i="36"/>
  <c r="AP45" i="36"/>
  <c r="AP46" i="36"/>
  <c r="AP47" i="36"/>
  <c r="AP8" i="36"/>
  <c r="AP12" i="36"/>
  <c r="AP16" i="36"/>
  <c r="AP6" i="36"/>
  <c r="AP10" i="36"/>
  <c r="AP14" i="36"/>
  <c r="AX7" i="36"/>
  <c r="AX9" i="36"/>
  <c r="AX11" i="36"/>
  <c r="AX13" i="36"/>
  <c r="AX15" i="36"/>
  <c r="AX17" i="36"/>
  <c r="AX18" i="36"/>
  <c r="AX19" i="36"/>
  <c r="AX20" i="36"/>
  <c r="AX21" i="36"/>
  <c r="AX22" i="36"/>
  <c r="AX23" i="36"/>
  <c r="AX24" i="36"/>
  <c r="AX25" i="36"/>
  <c r="AX26" i="36"/>
  <c r="AX27" i="36"/>
  <c r="AX28" i="36"/>
  <c r="AX29" i="36"/>
  <c r="AX30" i="36"/>
  <c r="AX31" i="36"/>
  <c r="AX32" i="36"/>
  <c r="AX33" i="36"/>
  <c r="AX34" i="36"/>
  <c r="AX35" i="36"/>
  <c r="AX36" i="36"/>
  <c r="AX37" i="36"/>
  <c r="AX38" i="36"/>
  <c r="AX39" i="36"/>
  <c r="AX40" i="36"/>
  <c r="AX42" i="36"/>
  <c r="AX43" i="36"/>
  <c r="AX44" i="36"/>
  <c r="AX45" i="36"/>
  <c r="AX46" i="36"/>
  <c r="AX47" i="36"/>
  <c r="AX8" i="36"/>
  <c r="AX12" i="36"/>
  <c r="AX16" i="36"/>
  <c r="AX6" i="36"/>
  <c r="AX10" i="36"/>
  <c r="AX14" i="36"/>
  <c r="AN6" i="36"/>
  <c r="AN8" i="36"/>
  <c r="AN10" i="36"/>
  <c r="AN12" i="36"/>
  <c r="AN14" i="36"/>
  <c r="AN16" i="36"/>
  <c r="AN17" i="36"/>
  <c r="AN18" i="36"/>
  <c r="AN19" i="36"/>
  <c r="AN20" i="36"/>
  <c r="AN21" i="36"/>
  <c r="AN22" i="36"/>
  <c r="AN23" i="36"/>
  <c r="AN24" i="36"/>
  <c r="AN25" i="36"/>
  <c r="AN26" i="36"/>
  <c r="AN27" i="36"/>
  <c r="AN28" i="36"/>
  <c r="AN29" i="36"/>
  <c r="AN30" i="36"/>
  <c r="AN31" i="36"/>
  <c r="AN32" i="36"/>
  <c r="AN33" i="36"/>
  <c r="AN34" i="36"/>
  <c r="AN35" i="36"/>
  <c r="AN36" i="36"/>
  <c r="AN37" i="36"/>
  <c r="AN38" i="36"/>
  <c r="AN39" i="36"/>
  <c r="AN40" i="36"/>
  <c r="AN42" i="36"/>
  <c r="AN43" i="36"/>
  <c r="AN44" i="36"/>
  <c r="AN45" i="36"/>
  <c r="AN46" i="36"/>
  <c r="AN47" i="36"/>
  <c r="AM4" i="36"/>
  <c r="AN9" i="36"/>
  <c r="AN13" i="36"/>
  <c r="AN7" i="36"/>
  <c r="AN11" i="36"/>
  <c r="AN15" i="36"/>
  <c r="AV6" i="36"/>
  <c r="AV8" i="36"/>
  <c r="AV10" i="36"/>
  <c r="AV12" i="36"/>
  <c r="AV14" i="36"/>
  <c r="AV16" i="36"/>
  <c r="AV17" i="36"/>
  <c r="AV18" i="36"/>
  <c r="AV19" i="36"/>
  <c r="AV20" i="36"/>
  <c r="AV21" i="36"/>
  <c r="AV22" i="36"/>
  <c r="AV23" i="36"/>
  <c r="AV24" i="36"/>
  <c r="AV25" i="36"/>
  <c r="AV26" i="36"/>
  <c r="AV27" i="36"/>
  <c r="AV28" i="36"/>
  <c r="AV29" i="36"/>
  <c r="AV30" i="36"/>
  <c r="AV31" i="36"/>
  <c r="AV32" i="36"/>
  <c r="AV33" i="36"/>
  <c r="AV34" i="36"/>
  <c r="AV35" i="36"/>
  <c r="AV36" i="36"/>
  <c r="AV37" i="36"/>
  <c r="AV38" i="36"/>
  <c r="AV39" i="36"/>
  <c r="AV40" i="36"/>
  <c r="AV42" i="36"/>
  <c r="AV43" i="36"/>
  <c r="AV44" i="36"/>
  <c r="AV45" i="36"/>
  <c r="AV46" i="36"/>
  <c r="AV47" i="36"/>
  <c r="AV9" i="36"/>
  <c r="AV13" i="36"/>
  <c r="AV7" i="36"/>
  <c r="AV11" i="36"/>
  <c r="AV15" i="36"/>
  <c r="BD6" i="36"/>
  <c r="BD8" i="36"/>
  <c r="BD10" i="36"/>
  <c r="BD12" i="36"/>
  <c r="BD14" i="36"/>
  <c r="BD16" i="36"/>
  <c r="BD17" i="36"/>
  <c r="BD18" i="36"/>
  <c r="BD19" i="36"/>
  <c r="BD20" i="36"/>
  <c r="BD21" i="36"/>
  <c r="BD22" i="36"/>
  <c r="BD23" i="36"/>
  <c r="BD24" i="36"/>
  <c r="BD25" i="36"/>
  <c r="BD26" i="36"/>
  <c r="BD27" i="36"/>
  <c r="BD28" i="36"/>
  <c r="BD29" i="36"/>
  <c r="BD30" i="36"/>
  <c r="BD31" i="36"/>
  <c r="BD32" i="36"/>
  <c r="BD33" i="36"/>
  <c r="BD34" i="36"/>
  <c r="BD35" i="36"/>
  <c r="BD36" i="36"/>
  <c r="BD37" i="36"/>
  <c r="BD38" i="36"/>
  <c r="BD39" i="36"/>
  <c r="BD40" i="36"/>
  <c r="BD42" i="36"/>
  <c r="BD43" i="36"/>
  <c r="BD44" i="36"/>
  <c r="BD45" i="36"/>
  <c r="BD46" i="36"/>
  <c r="BD47" i="36"/>
  <c r="BD9" i="36"/>
  <c r="BD13" i="36"/>
  <c r="BD7" i="36"/>
  <c r="BD11" i="36"/>
  <c r="BD15" i="36"/>
  <c r="AQ6" i="36"/>
  <c r="AQ7" i="36"/>
  <c r="AQ8" i="36"/>
  <c r="AQ9" i="36"/>
  <c r="AQ10" i="36"/>
  <c r="AQ11" i="36"/>
  <c r="AQ12" i="36"/>
  <c r="AQ13" i="36"/>
  <c r="AQ14" i="36"/>
  <c r="AQ15" i="36"/>
  <c r="AQ16" i="36"/>
  <c r="AQ17" i="36"/>
  <c r="AQ19" i="36"/>
  <c r="AQ21" i="36"/>
  <c r="AQ23" i="36"/>
  <c r="AQ25" i="36"/>
  <c r="AQ27" i="36"/>
  <c r="AQ29" i="36"/>
  <c r="AQ31" i="36"/>
  <c r="AQ33" i="36"/>
  <c r="AQ35" i="36"/>
  <c r="AQ37" i="36"/>
  <c r="AQ39" i="36"/>
  <c r="AQ42" i="36"/>
  <c r="AQ45" i="36"/>
  <c r="AQ46" i="36"/>
  <c r="AQ18" i="36"/>
  <c r="AQ20" i="36"/>
  <c r="AQ22" i="36"/>
  <c r="AQ24" i="36"/>
  <c r="AQ26" i="36"/>
  <c r="AQ28" i="36"/>
  <c r="AQ30" i="36"/>
  <c r="AQ32" i="36"/>
  <c r="AQ34" i="36"/>
  <c r="AQ36" i="36"/>
  <c r="AQ38" i="36"/>
  <c r="AQ40" i="36"/>
  <c r="AQ43" i="36"/>
  <c r="AQ44" i="36"/>
  <c r="AQ47" i="36"/>
  <c r="AU6" i="36"/>
  <c r="AU7" i="36"/>
  <c r="AU8" i="36"/>
  <c r="AU9" i="36"/>
  <c r="AU10" i="36"/>
  <c r="AU11" i="36"/>
  <c r="AU12" i="36"/>
  <c r="AU13" i="36"/>
  <c r="AU14" i="36"/>
  <c r="AU15" i="36"/>
  <c r="AU16" i="36"/>
  <c r="AU17" i="36"/>
  <c r="AU19" i="36"/>
  <c r="AU21" i="36"/>
  <c r="AU23" i="36"/>
  <c r="AU25" i="36"/>
  <c r="AU27" i="36"/>
  <c r="AU29" i="36"/>
  <c r="AU31" i="36"/>
  <c r="AU33" i="36"/>
  <c r="AU35" i="36"/>
  <c r="AU37" i="36"/>
  <c r="AU39" i="36"/>
  <c r="AU42" i="36"/>
  <c r="AU45" i="36"/>
  <c r="AU46" i="36"/>
  <c r="AU18" i="36"/>
  <c r="AU20" i="36"/>
  <c r="AU22" i="36"/>
  <c r="AU24" i="36"/>
  <c r="AU26" i="36"/>
  <c r="AU28" i="36"/>
  <c r="AU30" i="36"/>
  <c r="AU32" i="36"/>
  <c r="AU34" i="36"/>
  <c r="AU36" i="36"/>
  <c r="AU38" i="36"/>
  <c r="AU40" i="36"/>
  <c r="AU43" i="36"/>
  <c r="AU44" i="36"/>
  <c r="AU47" i="36"/>
  <c r="AY6" i="36"/>
  <c r="AY7" i="36"/>
  <c r="AY8" i="36"/>
  <c r="AY9" i="36"/>
  <c r="AY10" i="36"/>
  <c r="AY11" i="36"/>
  <c r="AY12" i="36"/>
  <c r="AY13" i="36"/>
  <c r="AY14" i="36"/>
  <c r="AY15" i="36"/>
  <c r="AY16" i="36"/>
  <c r="AY17" i="36"/>
  <c r="AY19" i="36"/>
  <c r="AY21" i="36"/>
  <c r="AY23" i="36"/>
  <c r="AY25" i="36"/>
  <c r="AY27" i="36"/>
  <c r="AY29" i="36"/>
  <c r="AY31" i="36"/>
  <c r="AY33" i="36"/>
  <c r="AY35" i="36"/>
  <c r="AY37" i="36"/>
  <c r="AY39" i="36"/>
  <c r="AY42" i="36"/>
  <c r="AY45" i="36"/>
  <c r="AY46" i="36"/>
  <c r="AY18" i="36"/>
  <c r="AY20" i="36"/>
  <c r="AY22" i="36"/>
  <c r="AY24" i="36"/>
  <c r="AY26" i="36"/>
  <c r="AY28" i="36"/>
  <c r="AY30" i="36"/>
  <c r="AY32" i="36"/>
  <c r="AY34" i="36"/>
  <c r="AY36" i="36"/>
  <c r="AY38" i="36"/>
  <c r="AY40" i="36"/>
  <c r="AY43" i="36"/>
  <c r="AY44" i="36"/>
  <c r="AY47" i="36"/>
  <c r="BC6" i="36"/>
  <c r="BC7" i="36"/>
  <c r="BC8" i="36"/>
  <c r="BC9" i="36"/>
  <c r="BC10" i="36"/>
  <c r="BC11" i="36"/>
  <c r="BC12" i="36"/>
  <c r="BC13" i="36"/>
  <c r="BC14" i="36"/>
  <c r="BC15" i="36"/>
  <c r="BC16" i="36"/>
  <c r="BC17" i="36"/>
  <c r="BC19" i="36"/>
  <c r="BC21" i="36"/>
  <c r="BC23" i="36"/>
  <c r="BC25" i="36"/>
  <c r="BC27" i="36"/>
  <c r="BC29" i="36"/>
  <c r="BC31" i="36"/>
  <c r="BC33" i="36"/>
  <c r="BC35" i="36"/>
  <c r="BC37" i="36"/>
  <c r="BC39" i="36"/>
  <c r="BC42" i="36"/>
  <c r="BC45" i="36"/>
  <c r="BC46" i="36"/>
  <c r="BC18" i="36"/>
  <c r="BC20" i="36"/>
  <c r="BC22" i="36"/>
  <c r="BC24" i="36"/>
  <c r="BC26" i="36"/>
  <c r="BC28" i="36"/>
  <c r="BC30" i="36"/>
  <c r="BC32" i="36"/>
  <c r="BC34" i="36"/>
  <c r="BC36" i="36"/>
  <c r="BC38" i="36"/>
  <c r="BC40" i="36"/>
  <c r="BC43" i="36"/>
  <c r="BC44" i="36"/>
  <c r="BC47" i="36"/>
  <c r="U6" i="36"/>
  <c r="U7" i="36"/>
  <c r="U8" i="36"/>
  <c r="U9" i="36"/>
  <c r="U10" i="36"/>
  <c r="U11" i="36"/>
  <c r="U12" i="36"/>
  <c r="U13" i="36"/>
  <c r="U14" i="36"/>
  <c r="U15" i="36"/>
  <c r="U16" i="36"/>
  <c r="U17" i="36"/>
  <c r="U18" i="36"/>
  <c r="U19" i="36"/>
  <c r="U20" i="36"/>
  <c r="U21" i="36"/>
  <c r="U22" i="36"/>
  <c r="U23" i="36"/>
  <c r="U24" i="36"/>
  <c r="U25" i="36"/>
  <c r="U26" i="36"/>
  <c r="U27" i="36"/>
  <c r="U28" i="36"/>
  <c r="U29" i="36"/>
  <c r="U30" i="36"/>
  <c r="U31" i="36"/>
  <c r="U32" i="36"/>
  <c r="U33" i="36"/>
  <c r="U34" i="36"/>
  <c r="U35" i="36"/>
  <c r="U36" i="36"/>
  <c r="U37" i="36"/>
  <c r="U38" i="36"/>
  <c r="U39" i="36"/>
  <c r="U40" i="36"/>
  <c r="U42" i="36"/>
  <c r="U43" i="36"/>
  <c r="U44" i="36"/>
  <c r="U45" i="36"/>
  <c r="U46" i="36"/>
  <c r="U47" i="36"/>
  <c r="Y6" i="36"/>
  <c r="Y7" i="36"/>
  <c r="Y8" i="36"/>
  <c r="Y9" i="36"/>
  <c r="Y10" i="36"/>
  <c r="Y11" i="36"/>
  <c r="Y12" i="36"/>
  <c r="Y13" i="36"/>
  <c r="Y14" i="36"/>
  <c r="Y15" i="36"/>
  <c r="Y16" i="36"/>
  <c r="Y17" i="36"/>
  <c r="Y18" i="36"/>
  <c r="Y19" i="36"/>
  <c r="Y20" i="36"/>
  <c r="Y21" i="36"/>
  <c r="Y22" i="36"/>
  <c r="Y23" i="36"/>
  <c r="Y24" i="36"/>
  <c r="Y25" i="36"/>
  <c r="Y26" i="36"/>
  <c r="Y27" i="36"/>
  <c r="Y28" i="36"/>
  <c r="Y29" i="36"/>
  <c r="Y30" i="36"/>
  <c r="Y31" i="36"/>
  <c r="Y32" i="36"/>
  <c r="Y33" i="36"/>
  <c r="Y34" i="36"/>
  <c r="Y35" i="36"/>
  <c r="Y36" i="36"/>
  <c r="Y37" i="36"/>
  <c r="Y38" i="36"/>
  <c r="Y39" i="36"/>
  <c r="Y40" i="36"/>
  <c r="Y42" i="36"/>
  <c r="Y43" i="36"/>
  <c r="Y44" i="36"/>
  <c r="Y45" i="36"/>
  <c r="Y46" i="36"/>
  <c r="Y47" i="36"/>
  <c r="AC6" i="36"/>
  <c r="AC7" i="36"/>
  <c r="AC8" i="36"/>
  <c r="AC9" i="36"/>
  <c r="AC10" i="36"/>
  <c r="AC11" i="36"/>
  <c r="AC12" i="36"/>
  <c r="AC13" i="36"/>
  <c r="AC14" i="36"/>
  <c r="AC15" i="36"/>
  <c r="AC16" i="36"/>
  <c r="AC17" i="36"/>
  <c r="AC18" i="36"/>
  <c r="AC19" i="36"/>
  <c r="AC20" i="36"/>
  <c r="AC21" i="36"/>
  <c r="AC22" i="36"/>
  <c r="AC23" i="36"/>
  <c r="AC24" i="36"/>
  <c r="AC25" i="36"/>
  <c r="AC26" i="36"/>
  <c r="AC27" i="36"/>
  <c r="AC28" i="36"/>
  <c r="AC29" i="36"/>
  <c r="AC30" i="36"/>
  <c r="AC31" i="36"/>
  <c r="AC32" i="36"/>
  <c r="AC33" i="36"/>
  <c r="AC34" i="36"/>
  <c r="AC35" i="36"/>
  <c r="AC36" i="36"/>
  <c r="AC37" i="36"/>
  <c r="AC38" i="36"/>
  <c r="AC39" i="36"/>
  <c r="AC40" i="36"/>
  <c r="AC42" i="36"/>
  <c r="AC43" i="36"/>
  <c r="AC44" i="36"/>
  <c r="AC45" i="36"/>
  <c r="AC46" i="36"/>
  <c r="AC47" i="36"/>
  <c r="AG6" i="36"/>
  <c r="AG7" i="36"/>
  <c r="AG8" i="36"/>
  <c r="AG9" i="36"/>
  <c r="AG10" i="36"/>
  <c r="AG11" i="36"/>
  <c r="AG12" i="36"/>
  <c r="AG13" i="36"/>
  <c r="AG14" i="36"/>
  <c r="AG15" i="36"/>
  <c r="AG16" i="36"/>
  <c r="AG17" i="36"/>
  <c r="AG18" i="36"/>
  <c r="AG19" i="36"/>
  <c r="AG20" i="36"/>
  <c r="AG21" i="36"/>
  <c r="AG22" i="36"/>
  <c r="AG23" i="36"/>
  <c r="AG24" i="36"/>
  <c r="AG25" i="36"/>
  <c r="AG26" i="36"/>
  <c r="AG27" i="36"/>
  <c r="AG28" i="36"/>
  <c r="AG29" i="36"/>
  <c r="AG30" i="36"/>
  <c r="AG31" i="36"/>
  <c r="AG32" i="36"/>
  <c r="AG33" i="36"/>
  <c r="AG34" i="36"/>
  <c r="AG35" i="36"/>
  <c r="AG36" i="36"/>
  <c r="AG37" i="36"/>
  <c r="AG38" i="36"/>
  <c r="AG39" i="36"/>
  <c r="AG40" i="36"/>
  <c r="AG42" i="36"/>
  <c r="AG43" i="36"/>
  <c r="AG44" i="36"/>
  <c r="AG45" i="36"/>
  <c r="AG46" i="36"/>
  <c r="AG47" i="36"/>
  <c r="AK6" i="36"/>
  <c r="AK7" i="36"/>
  <c r="AK8" i="36"/>
  <c r="AK9" i="36"/>
  <c r="AK10" i="36"/>
  <c r="AK11" i="36"/>
  <c r="AK12" i="36"/>
  <c r="AK13" i="36"/>
  <c r="AK14" i="36"/>
  <c r="AK15" i="36"/>
  <c r="AK16" i="36"/>
  <c r="AK17" i="36"/>
  <c r="AK18" i="36"/>
  <c r="AK19" i="36"/>
  <c r="AK20" i="36"/>
  <c r="AK21" i="36"/>
  <c r="AK22" i="36"/>
  <c r="AK23" i="36"/>
  <c r="AK24" i="36"/>
  <c r="AK25" i="36"/>
  <c r="AK26" i="36"/>
  <c r="AK27" i="36"/>
  <c r="AK28" i="36"/>
  <c r="AK29" i="36"/>
  <c r="AK30" i="36"/>
  <c r="AK31" i="36"/>
  <c r="AK32" i="36"/>
  <c r="AK33" i="36"/>
  <c r="AK34" i="36"/>
  <c r="AK35" i="36"/>
  <c r="AK36" i="36"/>
  <c r="AK37" i="36"/>
  <c r="AK38" i="36"/>
  <c r="AK39" i="36"/>
  <c r="AK40" i="36"/>
  <c r="AK42" i="36"/>
  <c r="AK43" i="36"/>
  <c r="AK44" i="36"/>
  <c r="AK45" i="36"/>
  <c r="AK46" i="36"/>
  <c r="AK47" i="36"/>
  <c r="V6" i="36"/>
  <c r="V8" i="36"/>
  <c r="V10" i="36"/>
  <c r="V12" i="36"/>
  <c r="V14" i="36"/>
  <c r="V16" i="36"/>
  <c r="V18" i="36"/>
  <c r="V20" i="36"/>
  <c r="V22" i="36"/>
  <c r="V24" i="36"/>
  <c r="V25" i="36"/>
  <c r="V26" i="36"/>
  <c r="V27" i="36"/>
  <c r="V28" i="36"/>
  <c r="V29" i="36"/>
  <c r="V30" i="36"/>
  <c r="V31" i="36"/>
  <c r="V32" i="36"/>
  <c r="V33" i="36"/>
  <c r="V34" i="36"/>
  <c r="V35" i="36"/>
  <c r="V36" i="36"/>
  <c r="V37" i="36"/>
  <c r="V38" i="36"/>
  <c r="V39" i="36"/>
  <c r="V40" i="36"/>
  <c r="V42" i="36"/>
  <c r="V43" i="36"/>
  <c r="V44" i="36"/>
  <c r="V45" i="36"/>
  <c r="V46" i="36"/>
  <c r="V47" i="36"/>
  <c r="V7" i="36"/>
  <c r="V9" i="36"/>
  <c r="V11" i="36"/>
  <c r="V13" i="36"/>
  <c r="V15" i="36"/>
  <c r="V17" i="36"/>
  <c r="V19" i="36"/>
  <c r="V21" i="36"/>
  <c r="V23" i="36"/>
  <c r="Z6" i="36"/>
  <c r="Z8" i="36"/>
  <c r="Z10" i="36"/>
  <c r="Z12" i="36"/>
  <c r="Z14" i="36"/>
  <c r="Z16" i="36"/>
  <c r="Z18" i="36"/>
  <c r="Z20" i="36"/>
  <c r="Z22" i="36"/>
  <c r="Z24" i="36"/>
  <c r="Z25" i="36"/>
  <c r="Z26" i="36"/>
  <c r="Z27" i="36"/>
  <c r="Z28" i="36"/>
  <c r="Z29" i="36"/>
  <c r="Z30" i="36"/>
  <c r="Z31" i="36"/>
  <c r="Z32" i="36"/>
  <c r="Z33" i="36"/>
  <c r="Z34" i="36"/>
  <c r="Z35" i="36"/>
  <c r="Z36" i="36"/>
  <c r="Z37" i="36"/>
  <c r="Z38" i="36"/>
  <c r="Z39" i="36"/>
  <c r="Z40" i="36"/>
  <c r="Z42" i="36"/>
  <c r="Z43" i="36"/>
  <c r="Z44" i="36"/>
  <c r="Z45" i="36"/>
  <c r="Z46" i="36"/>
  <c r="Z47" i="36"/>
  <c r="Z7" i="36"/>
  <c r="Z9" i="36"/>
  <c r="Z11" i="36"/>
  <c r="Z13" i="36"/>
  <c r="Z15" i="36"/>
  <c r="Z17" i="36"/>
  <c r="Z19" i="36"/>
  <c r="Z21" i="36"/>
  <c r="Z23" i="36"/>
  <c r="AD6" i="36"/>
  <c r="AD8" i="36"/>
  <c r="AD10" i="36"/>
  <c r="AD12" i="36"/>
  <c r="AD14" i="36"/>
  <c r="AD16" i="36"/>
  <c r="AD18" i="36"/>
  <c r="AD20" i="36"/>
  <c r="AD22" i="36"/>
  <c r="AD24" i="36"/>
  <c r="AD25" i="36"/>
  <c r="AD26" i="36"/>
  <c r="AD27" i="36"/>
  <c r="AD28" i="36"/>
  <c r="AD29" i="36"/>
  <c r="AD30" i="36"/>
  <c r="AD31" i="36"/>
  <c r="AD32" i="36"/>
  <c r="AD33" i="36"/>
  <c r="AD34" i="36"/>
  <c r="AD35" i="36"/>
  <c r="AD36" i="36"/>
  <c r="AD37" i="36"/>
  <c r="AD38" i="36"/>
  <c r="AD39" i="36"/>
  <c r="AD40" i="36"/>
  <c r="AD42" i="36"/>
  <c r="AD43" i="36"/>
  <c r="AD44" i="36"/>
  <c r="AD45" i="36"/>
  <c r="AD46" i="36"/>
  <c r="AD47" i="36"/>
  <c r="AD7" i="36"/>
  <c r="AD9" i="36"/>
  <c r="AD11" i="36"/>
  <c r="AD13" i="36"/>
  <c r="AD15" i="36"/>
  <c r="AD17" i="36"/>
  <c r="AD19" i="36"/>
  <c r="AD21" i="36"/>
  <c r="AD23" i="36"/>
  <c r="AH6" i="36"/>
  <c r="AH8" i="36"/>
  <c r="AH10" i="36"/>
  <c r="AH12" i="36"/>
  <c r="AH14" i="36"/>
  <c r="AH16" i="36"/>
  <c r="AH18" i="36"/>
  <c r="AH20" i="36"/>
  <c r="AH22" i="36"/>
  <c r="AH24" i="36"/>
  <c r="AH25" i="36"/>
  <c r="AH26" i="36"/>
  <c r="AH27" i="36"/>
  <c r="AH28" i="36"/>
  <c r="AH29" i="36"/>
  <c r="AH30" i="36"/>
  <c r="AH31" i="36"/>
  <c r="AH32" i="36"/>
  <c r="AH33" i="36"/>
  <c r="AH34" i="36"/>
  <c r="AH35" i="36"/>
  <c r="AH36" i="36"/>
  <c r="AH37" i="36"/>
  <c r="AH38" i="36"/>
  <c r="AH39" i="36"/>
  <c r="AH40" i="36"/>
  <c r="AH42" i="36"/>
  <c r="AH43" i="36"/>
  <c r="AH44" i="36"/>
  <c r="AH45" i="36"/>
  <c r="AH46" i="36"/>
  <c r="AH47" i="36"/>
  <c r="AH7" i="36"/>
  <c r="AH9" i="36"/>
  <c r="AH11" i="36"/>
  <c r="AH13" i="36"/>
  <c r="AH15" i="36"/>
  <c r="AH17" i="36"/>
  <c r="AH19" i="36"/>
  <c r="AH21" i="36"/>
  <c r="AH23" i="36"/>
  <c r="AH6" i="37"/>
  <c r="AH7" i="37"/>
  <c r="AH8" i="37"/>
  <c r="AH9" i="37"/>
  <c r="AH10" i="37"/>
  <c r="AH11" i="37"/>
  <c r="AH12" i="37"/>
  <c r="AH13" i="37"/>
  <c r="AH14" i="37"/>
  <c r="AH15" i="37"/>
  <c r="AH16" i="37"/>
  <c r="AH17" i="37"/>
  <c r="AH18" i="37"/>
  <c r="AH19" i="37"/>
  <c r="AH20" i="37"/>
  <c r="AH21" i="37"/>
  <c r="AH22" i="37"/>
  <c r="AH23" i="37"/>
  <c r="AH24" i="37"/>
  <c r="AH25" i="37"/>
  <c r="AH26" i="37"/>
  <c r="AH27" i="37"/>
  <c r="AH28" i="37"/>
  <c r="AH29" i="37"/>
  <c r="AH31" i="37"/>
  <c r="AH33" i="37"/>
  <c r="AH35" i="37"/>
  <c r="AH37" i="37"/>
  <c r="AH39" i="37"/>
  <c r="AH41" i="37"/>
  <c r="AH44" i="37"/>
  <c r="AH46" i="37"/>
  <c r="AH48" i="37"/>
  <c r="AH50" i="37"/>
  <c r="AH30" i="37"/>
  <c r="AH34" i="37"/>
  <c r="AH38" i="37"/>
  <c r="AH42" i="37"/>
  <c r="AH47" i="37"/>
  <c r="AH51" i="37"/>
  <c r="AH32" i="37"/>
  <c r="AH36" i="37"/>
  <c r="AH40" i="37"/>
  <c r="AH45" i="37"/>
  <c r="AH49" i="37"/>
  <c r="AD6" i="37"/>
  <c r="AD7" i="37"/>
  <c r="AD8" i="37"/>
  <c r="AD9" i="37"/>
  <c r="AD10" i="37"/>
  <c r="AD11" i="37"/>
  <c r="AD12" i="37"/>
  <c r="AD13" i="37"/>
  <c r="AD14" i="37"/>
  <c r="AD15" i="37"/>
  <c r="AD16" i="37"/>
  <c r="AD17" i="37"/>
  <c r="AD18" i="37"/>
  <c r="AD19" i="37"/>
  <c r="AD20" i="37"/>
  <c r="AD21" i="37"/>
  <c r="AD22" i="37"/>
  <c r="AD23" i="37"/>
  <c r="AD24" i="37"/>
  <c r="AD25" i="37"/>
  <c r="AD26" i="37"/>
  <c r="AD27" i="37"/>
  <c r="AD28" i="37"/>
  <c r="AD29" i="37"/>
  <c r="AD31" i="37"/>
  <c r="AD33" i="37"/>
  <c r="AD35" i="37"/>
  <c r="AD37" i="37"/>
  <c r="AD39" i="37"/>
  <c r="AD41" i="37"/>
  <c r="AD44" i="37"/>
  <c r="AD46" i="37"/>
  <c r="AD48" i="37"/>
  <c r="AD50" i="37"/>
  <c r="AD32" i="37"/>
  <c r="AD36" i="37"/>
  <c r="AD40" i="37"/>
  <c r="AD45" i="37"/>
  <c r="AD49" i="37"/>
  <c r="AD30" i="37"/>
  <c r="AD34" i="37"/>
  <c r="AD38" i="37"/>
  <c r="AD42" i="37"/>
  <c r="AD47" i="37"/>
  <c r="AD51" i="37"/>
  <c r="Z6" i="37"/>
  <c r="Z7" i="37"/>
  <c r="Z8" i="37"/>
  <c r="Z9" i="37"/>
  <c r="Z10" i="37"/>
  <c r="Z11" i="37"/>
  <c r="Z12" i="37"/>
  <c r="Z13" i="37"/>
  <c r="Z14" i="37"/>
  <c r="Z15" i="37"/>
  <c r="Z16" i="37"/>
  <c r="Z17" i="37"/>
  <c r="Z18" i="37"/>
  <c r="Z19" i="37"/>
  <c r="Z20" i="37"/>
  <c r="Z21" i="37"/>
  <c r="Z22" i="37"/>
  <c r="Z23" i="37"/>
  <c r="Z24" i="37"/>
  <c r="Z25" i="37"/>
  <c r="Z26" i="37"/>
  <c r="Z27" i="37"/>
  <c r="Z28" i="37"/>
  <c r="Z29" i="37"/>
  <c r="Z31" i="37"/>
  <c r="Z33" i="37"/>
  <c r="Z35" i="37"/>
  <c r="Z37" i="37"/>
  <c r="Z39" i="37"/>
  <c r="Z41" i="37"/>
  <c r="Z44" i="37"/>
  <c r="Z46" i="37"/>
  <c r="Z48" i="37"/>
  <c r="Z50" i="37"/>
  <c r="Z30" i="37"/>
  <c r="Z34" i="37"/>
  <c r="Z38" i="37"/>
  <c r="Z42" i="37"/>
  <c r="Z47" i="37"/>
  <c r="Z51" i="37"/>
  <c r="Z32" i="37"/>
  <c r="Z36" i="37"/>
  <c r="Z40" i="37"/>
  <c r="Z45" i="37"/>
  <c r="Z49" i="37"/>
  <c r="V6" i="37"/>
  <c r="V7" i="37"/>
  <c r="V8" i="37"/>
  <c r="V9" i="37"/>
  <c r="V10" i="37"/>
  <c r="V11" i="37"/>
  <c r="V12" i="37"/>
  <c r="V13" i="37"/>
  <c r="V14" i="37"/>
  <c r="V15" i="37"/>
  <c r="V16" i="37"/>
  <c r="V17" i="37"/>
  <c r="V18" i="37"/>
  <c r="V19" i="37"/>
  <c r="V20" i="37"/>
  <c r="V21" i="37"/>
  <c r="V22" i="37"/>
  <c r="V23" i="37"/>
  <c r="V24" i="37"/>
  <c r="V25" i="37"/>
  <c r="V26" i="37"/>
  <c r="V27" i="37"/>
  <c r="V28" i="37"/>
  <c r="V29" i="37"/>
  <c r="V31" i="37"/>
  <c r="V33" i="37"/>
  <c r="V35" i="37"/>
  <c r="V37" i="37"/>
  <c r="V39" i="37"/>
  <c r="V41" i="37"/>
  <c r="V44" i="37"/>
  <c r="V46" i="37"/>
  <c r="V48" i="37"/>
  <c r="V50" i="37"/>
  <c r="V32" i="37"/>
  <c r="V36" i="37"/>
  <c r="V40" i="37"/>
  <c r="V45" i="37"/>
  <c r="V49" i="37"/>
  <c r="V30" i="37"/>
  <c r="V34" i="37"/>
  <c r="V38" i="37"/>
  <c r="V42" i="37"/>
  <c r="V47" i="37"/>
  <c r="V51" i="37"/>
  <c r="AK6" i="37"/>
  <c r="AK7" i="37"/>
  <c r="AK8" i="37"/>
  <c r="AK9" i="37"/>
  <c r="AK10" i="37"/>
  <c r="AK11" i="37"/>
  <c r="AK12" i="37"/>
  <c r="AK13" i="37"/>
  <c r="AK14" i="37"/>
  <c r="AK15" i="37"/>
  <c r="AK16" i="37"/>
  <c r="AK17" i="37"/>
  <c r="AK18" i="37"/>
  <c r="AK19" i="37"/>
  <c r="AK20" i="37"/>
  <c r="AK21" i="37"/>
  <c r="AK22" i="37"/>
  <c r="AK23" i="37"/>
  <c r="AK24" i="37"/>
  <c r="AK25" i="37"/>
  <c r="AK26" i="37"/>
  <c r="AK27" i="37"/>
  <c r="AK28" i="37"/>
  <c r="AK29" i="37"/>
  <c r="AK30" i="37"/>
  <c r="AK31" i="37"/>
  <c r="AK32" i="37"/>
  <c r="AK33" i="37"/>
  <c r="AK34" i="37"/>
  <c r="AK35" i="37"/>
  <c r="AK36" i="37"/>
  <c r="AK37" i="37"/>
  <c r="AK38" i="37"/>
  <c r="AK39" i="37"/>
  <c r="AK40" i="37"/>
  <c r="AK41" i="37"/>
  <c r="AK42" i="37"/>
  <c r="AK44" i="37"/>
  <c r="AK45" i="37"/>
  <c r="AK46" i="37"/>
  <c r="AK47" i="37"/>
  <c r="AK48" i="37"/>
  <c r="AK49" i="37"/>
  <c r="AK50" i="37"/>
  <c r="AK51" i="37"/>
  <c r="AG6" i="37"/>
  <c r="AG7" i="37"/>
  <c r="AG8" i="37"/>
  <c r="AG9" i="37"/>
  <c r="AG10" i="37"/>
  <c r="AG11" i="37"/>
  <c r="AG12" i="37"/>
  <c r="AG13" i="37"/>
  <c r="AG14" i="37"/>
  <c r="AG15" i="37"/>
  <c r="AG16" i="37"/>
  <c r="AG17" i="37"/>
  <c r="AG18" i="37"/>
  <c r="AG19" i="37"/>
  <c r="AG20" i="37"/>
  <c r="AG21" i="37"/>
  <c r="AG22" i="37"/>
  <c r="AG23" i="37"/>
  <c r="AG24" i="37"/>
  <c r="AG25" i="37"/>
  <c r="AG26" i="37"/>
  <c r="AG27" i="37"/>
  <c r="AG28" i="37"/>
  <c r="AG29" i="37"/>
  <c r="AG30" i="37"/>
  <c r="AG31" i="37"/>
  <c r="AG32" i="37"/>
  <c r="AG33" i="37"/>
  <c r="AG34" i="37"/>
  <c r="AG35" i="37"/>
  <c r="AG36" i="37"/>
  <c r="AG37" i="37"/>
  <c r="AG38" i="37"/>
  <c r="AG39" i="37"/>
  <c r="AG40" i="37"/>
  <c r="AG41" i="37"/>
  <c r="AG42" i="37"/>
  <c r="AG44" i="37"/>
  <c r="AG45" i="37"/>
  <c r="AG46" i="37"/>
  <c r="AG47" i="37"/>
  <c r="AG48" i="37"/>
  <c r="AG49" i="37"/>
  <c r="AG50" i="37"/>
  <c r="AG51" i="37"/>
  <c r="AC6" i="37"/>
  <c r="AC7" i="37"/>
  <c r="AC8" i="37"/>
  <c r="AC9" i="37"/>
  <c r="AC10" i="37"/>
  <c r="AC11" i="37"/>
  <c r="AC12" i="37"/>
  <c r="AC13" i="37"/>
  <c r="AC14" i="37"/>
  <c r="AC15" i="37"/>
  <c r="AC16" i="37"/>
  <c r="AC17" i="37"/>
  <c r="AC18" i="37"/>
  <c r="AC19" i="37"/>
  <c r="AC20" i="37"/>
  <c r="AC21" i="37"/>
  <c r="AC22" i="37"/>
  <c r="AC23" i="37"/>
  <c r="AC24" i="37"/>
  <c r="AC25" i="37"/>
  <c r="AC26" i="37"/>
  <c r="AC27" i="37"/>
  <c r="AC28" i="37"/>
  <c r="AC29" i="37"/>
  <c r="AC30" i="37"/>
  <c r="AC31" i="37"/>
  <c r="AC32" i="37"/>
  <c r="AC33" i="37"/>
  <c r="AC34" i="37"/>
  <c r="AC35" i="37"/>
  <c r="AC36" i="37"/>
  <c r="AC37" i="37"/>
  <c r="AC38" i="37"/>
  <c r="AC39" i="37"/>
  <c r="AC40" i="37"/>
  <c r="AC41" i="37"/>
  <c r="AC42" i="37"/>
  <c r="AC44" i="37"/>
  <c r="AC45" i="37"/>
  <c r="AC46" i="37"/>
  <c r="AC47" i="37"/>
  <c r="AC48" i="37"/>
  <c r="AC49" i="37"/>
  <c r="AC50" i="37"/>
  <c r="AC51" i="37"/>
  <c r="Y6" i="37"/>
  <c r="Y7" i="37"/>
  <c r="Y8" i="37"/>
  <c r="Y9" i="37"/>
  <c r="Y10" i="37"/>
  <c r="Y11" i="37"/>
  <c r="Y12" i="37"/>
  <c r="Y13" i="37"/>
  <c r="Y14" i="37"/>
  <c r="Y15" i="37"/>
  <c r="Y16" i="37"/>
  <c r="Y17" i="37"/>
  <c r="Y18" i="37"/>
  <c r="Y19" i="37"/>
  <c r="Y20" i="37"/>
  <c r="Y21" i="37"/>
  <c r="Y22" i="37"/>
  <c r="Y23" i="37"/>
  <c r="Y24" i="37"/>
  <c r="Y25" i="37"/>
  <c r="Y26" i="37"/>
  <c r="Y27" i="37"/>
  <c r="Y28" i="37"/>
  <c r="Y29" i="37"/>
  <c r="Y30" i="37"/>
  <c r="Y31" i="37"/>
  <c r="Y32" i="37"/>
  <c r="Y33" i="37"/>
  <c r="Y34" i="37"/>
  <c r="Y35" i="37"/>
  <c r="Y36" i="37"/>
  <c r="Y37" i="37"/>
  <c r="Y38" i="37"/>
  <c r="Y39" i="37"/>
  <c r="Y40" i="37"/>
  <c r="Y41" i="37"/>
  <c r="Y42" i="37"/>
  <c r="Y44" i="37"/>
  <c r="Y45" i="37"/>
  <c r="Y46" i="37"/>
  <c r="Y47" i="37"/>
  <c r="Y48" i="37"/>
  <c r="Y49" i="37"/>
  <c r="Y50" i="37"/>
  <c r="Y51" i="37"/>
  <c r="U6" i="37"/>
  <c r="U7" i="37"/>
  <c r="U8" i="37"/>
  <c r="U9" i="37"/>
  <c r="U10" i="37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25" i="37"/>
  <c r="U26" i="37"/>
  <c r="U27" i="37"/>
  <c r="U28" i="37"/>
  <c r="U29" i="37"/>
  <c r="U30" i="37"/>
  <c r="U31" i="37"/>
  <c r="U32" i="37"/>
  <c r="U33" i="37"/>
  <c r="U34" i="37"/>
  <c r="U35" i="37"/>
  <c r="U36" i="37"/>
  <c r="U37" i="37"/>
  <c r="U38" i="37"/>
  <c r="U39" i="37"/>
  <c r="U40" i="37"/>
  <c r="U41" i="37"/>
  <c r="U42" i="37"/>
  <c r="U44" i="37"/>
  <c r="U45" i="37"/>
  <c r="U46" i="37"/>
  <c r="U47" i="37"/>
  <c r="U48" i="37"/>
  <c r="U49" i="37"/>
  <c r="U50" i="37"/>
  <c r="U51" i="37"/>
  <c r="AP6" i="37"/>
  <c r="AP8" i="37"/>
  <c r="AP10" i="37"/>
  <c r="AP12" i="37"/>
  <c r="AP14" i="37"/>
  <c r="AP16" i="37"/>
  <c r="AP17" i="37"/>
  <c r="AP18" i="37"/>
  <c r="AP19" i="37"/>
  <c r="AP20" i="37"/>
  <c r="AP21" i="37"/>
  <c r="AP22" i="37"/>
  <c r="AP23" i="37"/>
  <c r="AP24" i="37"/>
  <c r="AP25" i="37"/>
  <c r="AP26" i="37"/>
  <c r="AP27" i="37"/>
  <c r="AP28" i="37"/>
  <c r="AP9" i="37"/>
  <c r="AP13" i="37"/>
  <c r="AP7" i="37"/>
  <c r="AP11" i="37"/>
  <c r="AP15" i="37"/>
  <c r="AP29" i="37"/>
  <c r="AP30" i="37"/>
  <c r="AP31" i="37"/>
  <c r="AP32" i="37"/>
  <c r="AP33" i="37"/>
  <c r="AP34" i="37"/>
  <c r="AP35" i="37"/>
  <c r="AP36" i="37"/>
  <c r="AP37" i="37"/>
  <c r="AP38" i="37"/>
  <c r="AP39" i="37"/>
  <c r="AP40" i="37"/>
  <c r="AP41" i="37"/>
  <c r="AP42" i="37"/>
  <c r="AP44" i="37"/>
  <c r="AP45" i="37"/>
  <c r="AP46" i="37"/>
  <c r="AP47" i="37"/>
  <c r="AP48" i="37"/>
  <c r="AP49" i="37"/>
  <c r="AP50" i="37"/>
  <c r="AP51" i="37"/>
  <c r="AT6" i="37"/>
  <c r="AT8" i="37"/>
  <c r="AT10" i="37"/>
  <c r="AT12" i="37"/>
  <c r="AT14" i="37"/>
  <c r="AT16" i="37"/>
  <c r="AT17" i="37"/>
  <c r="AT18" i="37"/>
  <c r="AT19" i="37"/>
  <c r="AT20" i="37"/>
  <c r="AT21" i="37"/>
  <c r="AT22" i="37"/>
  <c r="AT23" i="37"/>
  <c r="AT24" i="37"/>
  <c r="AT25" i="37"/>
  <c r="AT26" i="37"/>
  <c r="AT27" i="37"/>
  <c r="AT28" i="37"/>
  <c r="AT7" i="37"/>
  <c r="AT11" i="37"/>
  <c r="AT15" i="37"/>
  <c r="AT9" i="37"/>
  <c r="AT13" i="37"/>
  <c r="AT29" i="37"/>
  <c r="AT30" i="37"/>
  <c r="AT31" i="37"/>
  <c r="AT32" i="37"/>
  <c r="AT33" i="37"/>
  <c r="AT34" i="37"/>
  <c r="AT35" i="37"/>
  <c r="AT36" i="37"/>
  <c r="AT37" i="37"/>
  <c r="AT38" i="37"/>
  <c r="AT39" i="37"/>
  <c r="AT40" i="37"/>
  <c r="AT41" i="37"/>
  <c r="AT42" i="37"/>
  <c r="AT44" i="37"/>
  <c r="AT45" i="37"/>
  <c r="AT46" i="37"/>
  <c r="AT47" i="37"/>
  <c r="AT48" i="37"/>
  <c r="AT49" i="37"/>
  <c r="AT50" i="37"/>
  <c r="AT51" i="37"/>
  <c r="AN7" i="37"/>
  <c r="AN9" i="37"/>
  <c r="AN11" i="37"/>
  <c r="AN13" i="37"/>
  <c r="AN15" i="37"/>
  <c r="AN16" i="37"/>
  <c r="AN17" i="37"/>
  <c r="AN18" i="37"/>
  <c r="AN19" i="37"/>
  <c r="AN20" i="37"/>
  <c r="AN21" i="37"/>
  <c r="AN22" i="37"/>
  <c r="AN23" i="37"/>
  <c r="AN24" i="37"/>
  <c r="AN25" i="37"/>
  <c r="AN26" i="37"/>
  <c r="AN27" i="37"/>
  <c r="AN28" i="37"/>
  <c r="AN6" i="37"/>
  <c r="AN10" i="37"/>
  <c r="AN14" i="37"/>
  <c r="AN8" i="37"/>
  <c r="AN12" i="37"/>
  <c r="AN29" i="37"/>
  <c r="AN30" i="37"/>
  <c r="AN31" i="37"/>
  <c r="AN32" i="37"/>
  <c r="AN33" i="37"/>
  <c r="AN34" i="37"/>
  <c r="AN35" i="37"/>
  <c r="AN36" i="37"/>
  <c r="AN37" i="37"/>
  <c r="AN38" i="37"/>
  <c r="AN39" i="37"/>
  <c r="AN40" i="37"/>
  <c r="AN41" i="37"/>
  <c r="AN42" i="37"/>
  <c r="AN44" i="37"/>
  <c r="AN45" i="37"/>
  <c r="AN46" i="37"/>
  <c r="AN47" i="37"/>
  <c r="AN48" i="37"/>
  <c r="AN49" i="37"/>
  <c r="AN50" i="37"/>
  <c r="AN51" i="37"/>
  <c r="AM4" i="37"/>
  <c r="AV7" i="37"/>
  <c r="AV9" i="37"/>
  <c r="AV11" i="37"/>
  <c r="AV13" i="37"/>
  <c r="AV15" i="37"/>
  <c r="AV16" i="37"/>
  <c r="AV17" i="37"/>
  <c r="AV18" i="37"/>
  <c r="AV19" i="37"/>
  <c r="AV20" i="37"/>
  <c r="AV21" i="37"/>
  <c r="AV22" i="37"/>
  <c r="AV23" i="37"/>
  <c r="AV24" i="37"/>
  <c r="AV25" i="37"/>
  <c r="AV26" i="37"/>
  <c r="AV27" i="37"/>
  <c r="AV28" i="37"/>
  <c r="AV6" i="37"/>
  <c r="AV10" i="37"/>
  <c r="AV14" i="37"/>
  <c r="AV8" i="37"/>
  <c r="AV12" i="37"/>
  <c r="AV29" i="37"/>
  <c r="AV30" i="37"/>
  <c r="AV31" i="37"/>
  <c r="AV32" i="37"/>
  <c r="AV33" i="37"/>
  <c r="AV34" i="37"/>
  <c r="AV35" i="37"/>
  <c r="AV36" i="37"/>
  <c r="AV37" i="37"/>
  <c r="AV38" i="37"/>
  <c r="AV39" i="37"/>
  <c r="AV40" i="37"/>
  <c r="AV41" i="37"/>
  <c r="AV42" i="37"/>
  <c r="AV44" i="37"/>
  <c r="AV45" i="37"/>
  <c r="AV46" i="37"/>
  <c r="AV47" i="37"/>
  <c r="AV48" i="37"/>
  <c r="AV49" i="37"/>
  <c r="AV50" i="37"/>
  <c r="AV51" i="37"/>
  <c r="BD7" i="37"/>
  <c r="BD9" i="37"/>
  <c r="BD11" i="37"/>
  <c r="BD13" i="37"/>
  <c r="BD15" i="37"/>
  <c r="BD16" i="37"/>
  <c r="BD17" i="37"/>
  <c r="BD18" i="37"/>
  <c r="BD19" i="37"/>
  <c r="BD20" i="37"/>
  <c r="BD21" i="37"/>
  <c r="BD22" i="37"/>
  <c r="BD23" i="37"/>
  <c r="BD24" i="37"/>
  <c r="BD25" i="37"/>
  <c r="BD26" i="37"/>
  <c r="BD27" i="37"/>
  <c r="BD28" i="37"/>
  <c r="BD6" i="37"/>
  <c r="BD10" i="37"/>
  <c r="BD14" i="37"/>
  <c r="BD8" i="37"/>
  <c r="BD12" i="37"/>
  <c r="BD29" i="37"/>
  <c r="BD30" i="37"/>
  <c r="BD31" i="37"/>
  <c r="BD32" i="37"/>
  <c r="BD33" i="37"/>
  <c r="BD34" i="37"/>
  <c r="BD35" i="37"/>
  <c r="BD36" i="37"/>
  <c r="BD37" i="37"/>
  <c r="BD38" i="37"/>
  <c r="BD39" i="37"/>
  <c r="BD40" i="37"/>
  <c r="BD41" i="37"/>
  <c r="BD42" i="37"/>
  <c r="BD44" i="37"/>
  <c r="BD45" i="37"/>
  <c r="BD46" i="37"/>
  <c r="BD47" i="37"/>
  <c r="BD48" i="37"/>
  <c r="BD49" i="37"/>
  <c r="BD50" i="37"/>
  <c r="BD51" i="37"/>
  <c r="AQ6" i="37"/>
  <c r="AQ7" i="37"/>
  <c r="AQ8" i="37"/>
  <c r="AQ9" i="37"/>
  <c r="AQ10" i="37"/>
  <c r="AQ11" i="37"/>
  <c r="AQ12" i="37"/>
  <c r="AQ13" i="37"/>
  <c r="AQ14" i="37"/>
  <c r="AQ15" i="37"/>
  <c r="AQ17" i="37"/>
  <c r="AQ19" i="37"/>
  <c r="AQ21" i="37"/>
  <c r="AQ23" i="37"/>
  <c r="AQ25" i="37"/>
  <c r="AQ27" i="37"/>
  <c r="AQ16" i="37"/>
  <c r="AQ18" i="37"/>
  <c r="AQ20" i="37"/>
  <c r="AQ22" i="37"/>
  <c r="AQ24" i="37"/>
  <c r="AQ26" i="37"/>
  <c r="AQ28" i="37"/>
  <c r="AQ30" i="37"/>
  <c r="AQ32" i="37"/>
  <c r="AQ34" i="37"/>
  <c r="AQ36" i="37"/>
  <c r="AQ38" i="37"/>
  <c r="AQ40" i="37"/>
  <c r="AQ42" i="37"/>
  <c r="AQ45" i="37"/>
  <c r="AQ47" i="37"/>
  <c r="AQ29" i="37"/>
  <c r="AQ31" i="37"/>
  <c r="AQ33" i="37"/>
  <c r="AQ35" i="37"/>
  <c r="AQ37" i="37"/>
  <c r="AQ39" i="37"/>
  <c r="AQ41" i="37"/>
  <c r="AQ44" i="37"/>
  <c r="AQ46" i="37"/>
  <c r="AQ48" i="37"/>
  <c r="AQ49" i="37"/>
  <c r="AQ50" i="37"/>
  <c r="AQ51" i="37"/>
  <c r="AU6" i="37"/>
  <c r="AU7" i="37"/>
  <c r="AU8" i="37"/>
  <c r="AU9" i="37"/>
  <c r="AU10" i="37"/>
  <c r="AU11" i="37"/>
  <c r="AU12" i="37"/>
  <c r="AU13" i="37"/>
  <c r="AU14" i="37"/>
  <c r="AU15" i="37"/>
  <c r="AU17" i="37"/>
  <c r="AU19" i="37"/>
  <c r="AU21" i="37"/>
  <c r="AU23" i="37"/>
  <c r="AU25" i="37"/>
  <c r="AU27" i="37"/>
  <c r="AU16" i="37"/>
  <c r="AU18" i="37"/>
  <c r="AU20" i="37"/>
  <c r="AU22" i="37"/>
  <c r="AU24" i="37"/>
  <c r="AU26" i="37"/>
  <c r="AU28" i="37"/>
  <c r="AU30" i="37"/>
  <c r="AU32" i="37"/>
  <c r="AU34" i="37"/>
  <c r="AU36" i="37"/>
  <c r="AU38" i="37"/>
  <c r="AU40" i="37"/>
  <c r="AU42" i="37"/>
  <c r="AU45" i="37"/>
  <c r="AU47" i="37"/>
  <c r="AU29" i="37"/>
  <c r="AU31" i="37"/>
  <c r="AU33" i="37"/>
  <c r="AU35" i="37"/>
  <c r="AU37" i="37"/>
  <c r="AU39" i="37"/>
  <c r="AU41" i="37"/>
  <c r="AU44" i="37"/>
  <c r="AU46" i="37"/>
  <c r="AU48" i="37"/>
  <c r="AU49" i="37"/>
  <c r="AU50" i="37"/>
  <c r="AU51" i="37"/>
  <c r="AY6" i="37"/>
  <c r="AY7" i="37"/>
  <c r="AY8" i="37"/>
  <c r="AY9" i="37"/>
  <c r="AY10" i="37"/>
  <c r="AY11" i="37"/>
  <c r="AY12" i="37"/>
  <c r="AY13" i="37"/>
  <c r="AY14" i="37"/>
  <c r="AY15" i="37"/>
  <c r="AY17" i="37"/>
  <c r="AY19" i="37"/>
  <c r="AY21" i="37"/>
  <c r="AY23" i="37"/>
  <c r="AY25" i="37"/>
  <c r="AY27" i="37"/>
  <c r="AY16" i="37"/>
  <c r="AY18" i="37"/>
  <c r="AY20" i="37"/>
  <c r="AY22" i="37"/>
  <c r="AY24" i="37"/>
  <c r="AY26" i="37"/>
  <c r="AY28" i="37"/>
  <c r="AY30" i="37"/>
  <c r="AY32" i="37"/>
  <c r="AY34" i="37"/>
  <c r="AY36" i="37"/>
  <c r="AY38" i="37"/>
  <c r="AY40" i="37"/>
  <c r="AY42" i="37"/>
  <c r="AY45" i="37"/>
  <c r="AY47" i="37"/>
  <c r="AY29" i="37"/>
  <c r="AY31" i="37"/>
  <c r="AY33" i="37"/>
  <c r="AY35" i="37"/>
  <c r="AY37" i="37"/>
  <c r="AY39" i="37"/>
  <c r="AY41" i="37"/>
  <c r="AY44" i="37"/>
  <c r="AY46" i="37"/>
  <c r="AY48" i="37"/>
  <c r="AY49" i="37"/>
  <c r="AY50" i="37"/>
  <c r="AY51" i="37"/>
  <c r="BC6" i="37"/>
  <c r="BC7" i="37"/>
  <c r="BC8" i="37"/>
  <c r="BC9" i="37"/>
  <c r="BC10" i="37"/>
  <c r="BC11" i="37"/>
  <c r="BC12" i="37"/>
  <c r="BC13" i="37"/>
  <c r="BC14" i="37"/>
  <c r="BC15" i="37"/>
  <c r="BC17" i="37"/>
  <c r="BC19" i="37"/>
  <c r="BC21" i="37"/>
  <c r="BC23" i="37"/>
  <c r="BC25" i="37"/>
  <c r="BC27" i="37"/>
  <c r="BC16" i="37"/>
  <c r="BC18" i="37"/>
  <c r="BC20" i="37"/>
  <c r="BC22" i="37"/>
  <c r="BC24" i="37"/>
  <c r="BC26" i="37"/>
  <c r="BC28" i="37"/>
  <c r="BC30" i="37"/>
  <c r="BC32" i="37"/>
  <c r="BC34" i="37"/>
  <c r="BC36" i="37"/>
  <c r="BC38" i="37"/>
  <c r="BC40" i="37"/>
  <c r="BC42" i="37"/>
  <c r="BC45" i="37"/>
  <c r="BC47" i="37"/>
  <c r="BC29" i="37"/>
  <c r="BC31" i="37"/>
  <c r="BC33" i="37"/>
  <c r="BC35" i="37"/>
  <c r="BC37" i="37"/>
  <c r="BC39" i="37"/>
  <c r="BC41" i="37"/>
  <c r="BC44" i="37"/>
  <c r="BC46" i="37"/>
  <c r="BC48" i="37"/>
  <c r="BC49" i="37"/>
  <c r="BC50" i="37"/>
  <c r="BC51" i="37"/>
  <c r="AJ6" i="37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J27" i="37"/>
  <c r="AJ28" i="37"/>
  <c r="AJ30" i="37"/>
  <c r="AJ32" i="37"/>
  <c r="AJ34" i="37"/>
  <c r="AJ36" i="37"/>
  <c r="AJ38" i="37"/>
  <c r="AJ40" i="37"/>
  <c r="AJ42" i="37"/>
  <c r="AJ45" i="37"/>
  <c r="AJ47" i="37"/>
  <c r="AJ49" i="37"/>
  <c r="AJ51" i="37"/>
  <c r="AJ29" i="37"/>
  <c r="AJ33" i="37"/>
  <c r="AJ37" i="37"/>
  <c r="AJ41" i="37"/>
  <c r="AJ46" i="37"/>
  <c r="AJ50" i="37"/>
  <c r="AJ31" i="37"/>
  <c r="AJ35" i="37"/>
  <c r="AJ39" i="37"/>
  <c r="AJ44" i="37"/>
  <c r="AJ48" i="37"/>
  <c r="AT7" i="36"/>
  <c r="AT9" i="36"/>
  <c r="AT11" i="36"/>
  <c r="AT13" i="36"/>
  <c r="AT15" i="36"/>
  <c r="AT17" i="36"/>
  <c r="AT18" i="36"/>
  <c r="AT19" i="36"/>
  <c r="AT20" i="36"/>
  <c r="AT21" i="36"/>
  <c r="AT22" i="36"/>
  <c r="AT23" i="36"/>
  <c r="AT24" i="36"/>
  <c r="AT25" i="36"/>
  <c r="AT26" i="36"/>
  <c r="AT27" i="36"/>
  <c r="AT28" i="36"/>
  <c r="AT29" i="36"/>
  <c r="AT30" i="36"/>
  <c r="AT31" i="36"/>
  <c r="AT32" i="36"/>
  <c r="AT33" i="36"/>
  <c r="AT34" i="36"/>
  <c r="AT35" i="36"/>
  <c r="AT36" i="36"/>
  <c r="AT37" i="36"/>
  <c r="AT38" i="36"/>
  <c r="AT39" i="36"/>
  <c r="AT40" i="36"/>
  <c r="AT42" i="36"/>
  <c r="AT43" i="36"/>
  <c r="AT44" i="36"/>
  <c r="AT45" i="36"/>
  <c r="AT46" i="36"/>
  <c r="AT47" i="36"/>
  <c r="AT6" i="36"/>
  <c r="AT10" i="36"/>
  <c r="AT14" i="36"/>
  <c r="AT8" i="36"/>
  <c r="AT12" i="36"/>
  <c r="AT16" i="36"/>
  <c r="BB7" i="36"/>
  <c r="BB9" i="36"/>
  <c r="BB11" i="36"/>
  <c r="BB13" i="36"/>
  <c r="BB15" i="36"/>
  <c r="BB17" i="36"/>
  <c r="BB18" i="36"/>
  <c r="BB19" i="36"/>
  <c r="BB20" i="36"/>
  <c r="BB21" i="36"/>
  <c r="BB22" i="36"/>
  <c r="BB23" i="36"/>
  <c r="BB24" i="36"/>
  <c r="BB25" i="36"/>
  <c r="BB26" i="36"/>
  <c r="BB27" i="36"/>
  <c r="BB28" i="36"/>
  <c r="BB29" i="36"/>
  <c r="BB30" i="36"/>
  <c r="BB31" i="36"/>
  <c r="BB32" i="36"/>
  <c r="BB33" i="36"/>
  <c r="BB34" i="36"/>
  <c r="BB35" i="36"/>
  <c r="BB36" i="36"/>
  <c r="BB37" i="36"/>
  <c r="BB38" i="36"/>
  <c r="BB39" i="36"/>
  <c r="BB40" i="36"/>
  <c r="BB42" i="36"/>
  <c r="BB43" i="36"/>
  <c r="BB44" i="36"/>
  <c r="BB45" i="36"/>
  <c r="BB46" i="36"/>
  <c r="BB47" i="36"/>
  <c r="BB6" i="36"/>
  <c r="BB10" i="36"/>
  <c r="BB14" i="36"/>
  <c r="BB8" i="36"/>
  <c r="BB12" i="36"/>
  <c r="BB16" i="36"/>
  <c r="AR6" i="36"/>
  <c r="AR8" i="36"/>
  <c r="AR10" i="36"/>
  <c r="AR12" i="36"/>
  <c r="AR14" i="36"/>
  <c r="AR16" i="36"/>
  <c r="AR17" i="36"/>
  <c r="AR18" i="36"/>
  <c r="AR19" i="36"/>
  <c r="AR20" i="36"/>
  <c r="AR21" i="36"/>
  <c r="AR22" i="36"/>
  <c r="AR23" i="36"/>
  <c r="AR24" i="36"/>
  <c r="AR25" i="36"/>
  <c r="AR26" i="36"/>
  <c r="AR27" i="36"/>
  <c r="AR28" i="36"/>
  <c r="AR29" i="36"/>
  <c r="AR30" i="36"/>
  <c r="AR31" i="36"/>
  <c r="AR32" i="36"/>
  <c r="AR33" i="36"/>
  <c r="AR34" i="36"/>
  <c r="AR35" i="36"/>
  <c r="AR36" i="36"/>
  <c r="AR37" i="36"/>
  <c r="AR38" i="36"/>
  <c r="AR39" i="36"/>
  <c r="AR40" i="36"/>
  <c r="AR42" i="36"/>
  <c r="AR43" i="36"/>
  <c r="AR44" i="36"/>
  <c r="AR45" i="36"/>
  <c r="AR46" i="36"/>
  <c r="AR47" i="36"/>
  <c r="AR7" i="36"/>
  <c r="AR11" i="36"/>
  <c r="AR15" i="36"/>
  <c r="AR9" i="36"/>
  <c r="AR13" i="36"/>
  <c r="AZ6" i="36"/>
  <c r="AZ8" i="36"/>
  <c r="AZ10" i="36"/>
  <c r="AZ12" i="36"/>
  <c r="AZ14" i="36"/>
  <c r="AZ16" i="36"/>
  <c r="AZ17" i="36"/>
  <c r="AZ18" i="36"/>
  <c r="AZ19" i="36"/>
  <c r="AZ20" i="36"/>
  <c r="AZ21" i="36"/>
  <c r="AZ22" i="36"/>
  <c r="AZ23" i="36"/>
  <c r="AZ24" i="36"/>
  <c r="AZ25" i="36"/>
  <c r="AZ26" i="36"/>
  <c r="AZ27" i="36"/>
  <c r="AZ28" i="36"/>
  <c r="AZ29" i="36"/>
  <c r="AZ30" i="36"/>
  <c r="AZ31" i="36"/>
  <c r="AZ32" i="36"/>
  <c r="AZ33" i="36"/>
  <c r="AZ34" i="36"/>
  <c r="AZ35" i="36"/>
  <c r="AZ36" i="36"/>
  <c r="AZ37" i="36"/>
  <c r="AZ38" i="36"/>
  <c r="AZ39" i="36"/>
  <c r="AZ40" i="36"/>
  <c r="AZ42" i="36"/>
  <c r="AZ43" i="36"/>
  <c r="AZ44" i="36"/>
  <c r="AZ45" i="36"/>
  <c r="AZ46" i="36"/>
  <c r="AZ47" i="36"/>
  <c r="AZ7" i="36"/>
  <c r="AZ11" i="36"/>
  <c r="AZ15" i="36"/>
  <c r="AZ9" i="36"/>
  <c r="AZ13" i="36"/>
  <c r="AO6" i="36"/>
  <c r="AO7" i="36"/>
  <c r="AO8" i="36"/>
  <c r="AO9" i="36"/>
  <c r="AO10" i="36"/>
  <c r="AO11" i="36"/>
  <c r="AO12" i="36"/>
  <c r="AO13" i="36"/>
  <c r="AO14" i="36"/>
  <c r="AO15" i="36"/>
  <c r="AO16" i="36"/>
  <c r="AO18" i="36"/>
  <c r="AO20" i="36"/>
  <c r="AO22" i="36"/>
  <c r="AO24" i="36"/>
  <c r="AO26" i="36"/>
  <c r="AO28" i="36"/>
  <c r="AO30" i="36"/>
  <c r="AO32" i="36"/>
  <c r="AO34" i="36"/>
  <c r="AO36" i="36"/>
  <c r="AO38" i="36"/>
  <c r="AO40" i="36"/>
  <c r="AO43" i="36"/>
  <c r="AO44" i="36"/>
  <c r="AO47" i="36"/>
  <c r="AO17" i="36"/>
  <c r="AO19" i="36"/>
  <c r="AO21" i="36"/>
  <c r="AO23" i="36"/>
  <c r="AO25" i="36"/>
  <c r="AO27" i="36"/>
  <c r="AO29" i="36"/>
  <c r="AO31" i="36"/>
  <c r="AO33" i="36"/>
  <c r="AO35" i="36"/>
  <c r="AO37" i="36"/>
  <c r="AO39" i="36"/>
  <c r="AO42" i="36"/>
  <c r="AO45" i="36"/>
  <c r="AO46" i="36"/>
  <c r="AS6" i="36"/>
  <c r="AS7" i="36"/>
  <c r="AS8" i="36"/>
  <c r="AS9" i="36"/>
  <c r="AS10" i="36"/>
  <c r="AS11" i="36"/>
  <c r="AS12" i="36"/>
  <c r="AS13" i="36"/>
  <c r="AS14" i="36"/>
  <c r="AS15" i="36"/>
  <c r="AS16" i="36"/>
  <c r="AS18" i="36"/>
  <c r="AS20" i="36"/>
  <c r="AS22" i="36"/>
  <c r="AS24" i="36"/>
  <c r="AS26" i="36"/>
  <c r="AS28" i="36"/>
  <c r="AS30" i="36"/>
  <c r="AS32" i="36"/>
  <c r="AS34" i="36"/>
  <c r="AS36" i="36"/>
  <c r="AS38" i="36"/>
  <c r="AS40" i="36"/>
  <c r="AS43" i="36"/>
  <c r="AS44" i="36"/>
  <c r="AS47" i="36"/>
  <c r="AS17" i="36"/>
  <c r="AS19" i="36"/>
  <c r="AS21" i="36"/>
  <c r="AS23" i="36"/>
  <c r="AS25" i="36"/>
  <c r="AS27" i="36"/>
  <c r="AS29" i="36"/>
  <c r="AS31" i="36"/>
  <c r="AS33" i="36"/>
  <c r="AS35" i="36"/>
  <c r="AS37" i="36"/>
  <c r="AS39" i="36"/>
  <c r="AS42" i="36"/>
  <c r="AS45" i="36"/>
  <c r="AS46" i="36"/>
  <c r="AW6" i="36"/>
  <c r="AW7" i="36"/>
  <c r="AW8" i="36"/>
  <c r="AW9" i="36"/>
  <c r="AW10" i="36"/>
  <c r="AW11" i="36"/>
  <c r="AW12" i="36"/>
  <c r="AW13" i="36"/>
  <c r="AW14" i="36"/>
  <c r="AW15" i="36"/>
  <c r="AW16" i="36"/>
  <c r="AW18" i="36"/>
  <c r="AW20" i="36"/>
  <c r="AW22" i="36"/>
  <c r="AW24" i="36"/>
  <c r="AW26" i="36"/>
  <c r="AW28" i="36"/>
  <c r="AW30" i="36"/>
  <c r="AW32" i="36"/>
  <c r="AW34" i="36"/>
  <c r="AW36" i="36"/>
  <c r="AW38" i="36"/>
  <c r="AW40" i="36"/>
  <c r="AW43" i="36"/>
  <c r="AW44" i="36"/>
  <c r="AW47" i="36"/>
  <c r="AW17" i="36"/>
  <c r="AW19" i="36"/>
  <c r="AW21" i="36"/>
  <c r="AW23" i="36"/>
  <c r="AW25" i="36"/>
  <c r="AW27" i="36"/>
  <c r="AW29" i="36"/>
  <c r="AW31" i="36"/>
  <c r="AW33" i="36"/>
  <c r="AW35" i="36"/>
  <c r="AW37" i="36"/>
  <c r="AW39" i="36"/>
  <c r="AW42" i="36"/>
  <c r="AW45" i="36"/>
  <c r="AW46" i="36"/>
  <c r="BA6" i="36"/>
  <c r="BA7" i="36"/>
  <c r="BA8" i="36"/>
  <c r="BA9" i="36"/>
  <c r="BA10" i="36"/>
  <c r="BA11" i="36"/>
  <c r="BA12" i="36"/>
  <c r="BA13" i="36"/>
  <c r="BA14" i="36"/>
  <c r="BA15" i="36"/>
  <c r="BA16" i="36"/>
  <c r="BA18" i="36"/>
  <c r="BA20" i="36"/>
  <c r="BA22" i="36"/>
  <c r="BA24" i="36"/>
  <c r="BA26" i="36"/>
  <c r="BA28" i="36"/>
  <c r="BA30" i="36"/>
  <c r="BA32" i="36"/>
  <c r="BA34" i="36"/>
  <c r="BA36" i="36"/>
  <c r="BA38" i="36"/>
  <c r="BA40" i="36"/>
  <c r="BA43" i="36"/>
  <c r="BA44" i="36"/>
  <c r="BA47" i="36"/>
  <c r="BA17" i="36"/>
  <c r="BA19" i="36"/>
  <c r="BA21" i="36"/>
  <c r="BA23" i="36"/>
  <c r="BA25" i="36"/>
  <c r="BA27" i="36"/>
  <c r="BA29" i="36"/>
  <c r="BA31" i="36"/>
  <c r="BA33" i="36"/>
  <c r="BA35" i="36"/>
  <c r="BA37" i="36"/>
  <c r="BA39" i="36"/>
  <c r="BA42" i="36"/>
  <c r="BA45" i="36"/>
  <c r="BA46" i="36"/>
  <c r="BE6" i="36"/>
  <c r="BE7" i="36"/>
  <c r="BE8" i="36"/>
  <c r="BE9" i="36"/>
  <c r="BE10" i="36"/>
  <c r="BE11" i="36"/>
  <c r="BE12" i="36"/>
  <c r="BE13" i="36"/>
  <c r="BE14" i="36"/>
  <c r="BE15" i="36"/>
  <c r="BE16" i="36"/>
  <c r="BE18" i="36"/>
  <c r="BE20" i="36"/>
  <c r="BE22" i="36"/>
  <c r="BE24" i="36"/>
  <c r="BE26" i="36"/>
  <c r="BE28" i="36"/>
  <c r="BE30" i="36"/>
  <c r="BE32" i="36"/>
  <c r="BE34" i="36"/>
  <c r="BE36" i="36"/>
  <c r="BE38" i="36"/>
  <c r="BE40" i="36"/>
  <c r="BE43" i="36"/>
  <c r="BE44" i="36"/>
  <c r="BE47" i="36"/>
  <c r="BE17" i="36"/>
  <c r="BE19" i="36"/>
  <c r="BE21" i="36"/>
  <c r="BE23" i="36"/>
  <c r="BE25" i="36"/>
  <c r="BE27" i="36"/>
  <c r="BE29" i="36"/>
  <c r="BE31" i="36"/>
  <c r="BE33" i="36"/>
  <c r="BE35" i="36"/>
  <c r="BE37" i="36"/>
  <c r="BE39" i="36"/>
  <c r="BE42" i="36"/>
  <c r="BE45" i="36"/>
  <c r="BE46" i="36"/>
  <c r="S4" i="37"/>
  <c r="S4" i="36"/>
  <c r="E25" i="37" l="1"/>
  <c r="E27" i="48" s="1"/>
  <c r="AM51" i="37"/>
  <c r="G51" i="37" s="1"/>
  <c r="AM49" i="37"/>
  <c r="G49" i="37" s="1"/>
  <c r="G53" i="48" s="1"/>
  <c r="AM47" i="37"/>
  <c r="G47" i="37" s="1"/>
  <c r="AM45" i="37"/>
  <c r="G45" i="37" s="1"/>
  <c r="AM42" i="37"/>
  <c r="G42" i="37" s="1"/>
  <c r="AM40" i="37"/>
  <c r="G40" i="37" s="1"/>
  <c r="AM38" i="37"/>
  <c r="G38" i="37" s="1"/>
  <c r="AM36" i="37"/>
  <c r="G36" i="37" s="1"/>
  <c r="AM34" i="37"/>
  <c r="G34" i="37" s="1"/>
  <c r="AM32" i="37"/>
  <c r="G32" i="37" s="1"/>
  <c r="AM30" i="37"/>
  <c r="G30" i="37" s="1"/>
  <c r="AM8" i="37"/>
  <c r="G8" i="37" s="1"/>
  <c r="AM10" i="37"/>
  <c r="G10" i="37" s="1"/>
  <c r="AM27" i="37"/>
  <c r="G27" i="37" s="1"/>
  <c r="G29" i="48" s="1"/>
  <c r="AM25" i="37"/>
  <c r="G25" i="37" s="1"/>
  <c r="G27" i="48" s="1"/>
  <c r="AM23" i="37"/>
  <c r="G23" i="37" s="1"/>
  <c r="AM21" i="37"/>
  <c r="G21" i="37" s="1"/>
  <c r="AM19" i="37"/>
  <c r="G19" i="37" s="1"/>
  <c r="AM17" i="37"/>
  <c r="G17" i="37" s="1"/>
  <c r="AM15" i="37"/>
  <c r="G15" i="37" s="1"/>
  <c r="AM11" i="37"/>
  <c r="G11" i="37" s="1"/>
  <c r="AM7" i="37"/>
  <c r="G7" i="37" s="1"/>
  <c r="AM11" i="36"/>
  <c r="G11" i="36" s="1"/>
  <c r="AM13" i="36"/>
  <c r="G13" i="36" s="1"/>
  <c r="AM46" i="36"/>
  <c r="G46" i="36" s="1"/>
  <c r="AM45" i="36"/>
  <c r="G45" i="36" s="1"/>
  <c r="AM42" i="36"/>
  <c r="G42" i="36" s="1"/>
  <c r="AM39" i="36"/>
  <c r="G39" i="36" s="1"/>
  <c r="AM37" i="36"/>
  <c r="G37" i="36" s="1"/>
  <c r="AM35" i="36"/>
  <c r="G35" i="36" s="1"/>
  <c r="AM33" i="36"/>
  <c r="G33" i="36" s="1"/>
  <c r="AM31" i="36"/>
  <c r="G31" i="36" s="1"/>
  <c r="AM29" i="36"/>
  <c r="G29" i="36" s="1"/>
  <c r="AM27" i="36"/>
  <c r="G27" i="36" s="1"/>
  <c r="AM25" i="36"/>
  <c r="G25" i="36" s="1"/>
  <c r="G31" i="48" s="1"/>
  <c r="AM23" i="36"/>
  <c r="G23" i="36" s="1"/>
  <c r="AM21" i="36"/>
  <c r="G21" i="36" s="1"/>
  <c r="AM19" i="36"/>
  <c r="G19" i="36" s="1"/>
  <c r="AM17" i="36"/>
  <c r="G17" i="36" s="1"/>
  <c r="AM14" i="36"/>
  <c r="G14" i="36" s="1"/>
  <c r="AM10" i="36"/>
  <c r="G10" i="36" s="1"/>
  <c r="AM6" i="36"/>
  <c r="G6" i="36" s="1"/>
  <c r="AM50" i="37"/>
  <c r="G50" i="37" s="1"/>
  <c r="AM48" i="37"/>
  <c r="G48" i="37" s="1"/>
  <c r="AM46" i="37"/>
  <c r="G46" i="37" s="1"/>
  <c r="G50" i="48" s="1"/>
  <c r="AM44" i="37"/>
  <c r="G44" i="37" s="1"/>
  <c r="AM41" i="37"/>
  <c r="G41" i="37" s="1"/>
  <c r="AM39" i="37"/>
  <c r="G39" i="37" s="1"/>
  <c r="AM37" i="37"/>
  <c r="G37" i="37" s="1"/>
  <c r="AM35" i="37"/>
  <c r="G35" i="37" s="1"/>
  <c r="AM33" i="37"/>
  <c r="G33" i="37" s="1"/>
  <c r="AM31" i="37"/>
  <c r="G31" i="37" s="1"/>
  <c r="AM29" i="37"/>
  <c r="G29" i="37" s="1"/>
  <c r="AM12" i="37"/>
  <c r="G12" i="37" s="1"/>
  <c r="AM14" i="37"/>
  <c r="G14" i="37" s="1"/>
  <c r="AM6" i="37"/>
  <c r="G6" i="37" s="1"/>
  <c r="AM28" i="37"/>
  <c r="G28" i="37" s="1"/>
  <c r="G30" i="48" s="1"/>
  <c r="AM26" i="37"/>
  <c r="G26" i="37" s="1"/>
  <c r="G28" i="48" s="1"/>
  <c r="AM24" i="37"/>
  <c r="G24" i="37" s="1"/>
  <c r="AM22" i="37"/>
  <c r="G22" i="37" s="1"/>
  <c r="AM20" i="37"/>
  <c r="G20" i="37" s="1"/>
  <c r="AM18" i="37"/>
  <c r="G18" i="37" s="1"/>
  <c r="AM16" i="37"/>
  <c r="G16" i="37" s="1"/>
  <c r="AM13" i="37"/>
  <c r="G13" i="37" s="1"/>
  <c r="AM9" i="37"/>
  <c r="G9" i="37" s="1"/>
  <c r="AM15" i="36"/>
  <c r="G15" i="36" s="1"/>
  <c r="AM7" i="36"/>
  <c r="G7" i="36" s="1"/>
  <c r="AM9" i="36"/>
  <c r="G9" i="36" s="1"/>
  <c r="AM47" i="36"/>
  <c r="G47" i="36" s="1"/>
  <c r="AM44" i="36"/>
  <c r="G44" i="36" s="1"/>
  <c r="AM43" i="36"/>
  <c r="G43" i="36" s="1"/>
  <c r="AM40" i="36"/>
  <c r="G40" i="36" s="1"/>
  <c r="AM38" i="36"/>
  <c r="G38" i="36" s="1"/>
  <c r="AM36" i="36"/>
  <c r="G36" i="36" s="1"/>
  <c r="AM34" i="36"/>
  <c r="G34" i="36" s="1"/>
  <c r="AM32" i="36"/>
  <c r="G32" i="36" s="1"/>
  <c r="AM30" i="36"/>
  <c r="G30" i="36" s="1"/>
  <c r="AM28" i="36"/>
  <c r="G28" i="36" s="1"/>
  <c r="AM26" i="36"/>
  <c r="G26" i="36" s="1"/>
  <c r="G32" i="48" s="1"/>
  <c r="AM24" i="36"/>
  <c r="G24" i="36" s="1"/>
  <c r="AM22" i="36"/>
  <c r="G22" i="36" s="1"/>
  <c r="AM20" i="36"/>
  <c r="G20" i="36" s="1"/>
  <c r="AM18" i="36"/>
  <c r="G18" i="36" s="1"/>
  <c r="AM16" i="36"/>
  <c r="G16" i="36" s="1"/>
  <c r="AM12" i="36"/>
  <c r="G12" i="36" s="1"/>
  <c r="AM8" i="36"/>
  <c r="G8" i="36" s="1"/>
  <c r="S8" i="37"/>
  <c r="F8" i="37" s="1"/>
  <c r="S12" i="37"/>
  <c r="F12" i="37" s="1"/>
  <c r="S16" i="37"/>
  <c r="F16" i="37" s="1"/>
  <c r="S20" i="37"/>
  <c r="F20" i="37" s="1"/>
  <c r="S7" i="37"/>
  <c r="F7" i="37" s="1"/>
  <c r="S11" i="37"/>
  <c r="F11" i="37" s="1"/>
  <c r="S15" i="37"/>
  <c r="F15" i="37" s="1"/>
  <c r="S19" i="37"/>
  <c r="F19" i="37" s="1"/>
  <c r="S24" i="37"/>
  <c r="F24" i="37" s="1"/>
  <c r="S28" i="37"/>
  <c r="F28" i="37" s="1"/>
  <c r="F30" i="48" s="1"/>
  <c r="S30" i="37"/>
  <c r="F30" i="37" s="1"/>
  <c r="S34" i="37"/>
  <c r="F34" i="37" s="1"/>
  <c r="S25" i="37"/>
  <c r="F25" i="37" s="1"/>
  <c r="F27" i="48" s="1"/>
  <c r="S31" i="37"/>
  <c r="F31" i="37" s="1"/>
  <c r="S35" i="37"/>
  <c r="F35" i="37" s="1"/>
  <c r="S39" i="37"/>
  <c r="F39" i="37" s="1"/>
  <c r="S36" i="37"/>
  <c r="F36" i="37" s="1"/>
  <c r="S40" i="37"/>
  <c r="F40" i="37" s="1"/>
  <c r="S45" i="37"/>
  <c r="F45" i="37" s="1"/>
  <c r="S49" i="37"/>
  <c r="F49" i="37" s="1"/>
  <c r="F53" i="48" s="1"/>
  <c r="S44" i="37"/>
  <c r="F44" i="37" s="1"/>
  <c r="S48" i="37"/>
  <c r="F48" i="37" s="1"/>
  <c r="S6" i="37"/>
  <c r="F6" i="37" s="1"/>
  <c r="S10" i="37"/>
  <c r="F10" i="37" s="1"/>
  <c r="S14" i="37"/>
  <c r="F14" i="37" s="1"/>
  <c r="S18" i="37"/>
  <c r="F18" i="37" s="1"/>
  <c r="S21" i="37"/>
  <c r="F21" i="37" s="1"/>
  <c r="S9" i="37"/>
  <c r="F9" i="37" s="1"/>
  <c r="S13" i="37"/>
  <c r="F13" i="37" s="1"/>
  <c r="S17" i="37"/>
  <c r="F17" i="37" s="1"/>
  <c r="S22" i="37"/>
  <c r="F22" i="37" s="1"/>
  <c r="S26" i="37"/>
  <c r="F26" i="37" s="1"/>
  <c r="F28" i="48" s="1"/>
  <c r="S32" i="37"/>
  <c r="F32" i="37" s="1"/>
  <c r="S23" i="37"/>
  <c r="F23" i="37" s="1"/>
  <c r="S27" i="37"/>
  <c r="F27" i="37" s="1"/>
  <c r="F29" i="48" s="1"/>
  <c r="S29" i="37"/>
  <c r="F29" i="37" s="1"/>
  <c r="S33" i="37"/>
  <c r="F33" i="37" s="1"/>
  <c r="S37" i="37"/>
  <c r="F37" i="37" s="1"/>
  <c r="S41" i="37"/>
  <c r="F41" i="37" s="1"/>
  <c r="S38" i="37"/>
  <c r="F38" i="37" s="1"/>
  <c r="S42" i="37"/>
  <c r="F42" i="37" s="1"/>
  <c r="S47" i="37"/>
  <c r="F47" i="37" s="1"/>
  <c r="S51" i="37"/>
  <c r="F51" i="37" s="1"/>
  <c r="S46" i="37"/>
  <c r="F46" i="37" s="1"/>
  <c r="F50" i="48" s="1"/>
  <c r="S50" i="37"/>
  <c r="F50" i="37" s="1"/>
  <c r="S7" i="36"/>
  <c r="F7" i="36" s="1"/>
  <c r="S11" i="36"/>
  <c r="F11" i="36" s="1"/>
  <c r="S15" i="36"/>
  <c r="F15" i="36" s="1"/>
  <c r="S19" i="36"/>
  <c r="F19" i="36" s="1"/>
  <c r="S22" i="36"/>
  <c r="F22" i="36" s="1"/>
  <c r="S10" i="36"/>
  <c r="F10" i="36" s="1"/>
  <c r="S14" i="36"/>
  <c r="F14" i="36" s="1"/>
  <c r="S18" i="36"/>
  <c r="F18" i="36" s="1"/>
  <c r="S23" i="36"/>
  <c r="F23" i="36" s="1"/>
  <c r="S27" i="36"/>
  <c r="F27" i="36" s="1"/>
  <c r="S31" i="36"/>
  <c r="F31" i="36" s="1"/>
  <c r="S24" i="36"/>
  <c r="F24" i="36" s="1"/>
  <c r="S28" i="36"/>
  <c r="F28" i="36" s="1"/>
  <c r="S32" i="36"/>
  <c r="F32" i="36" s="1"/>
  <c r="S37" i="36"/>
  <c r="F37" i="36" s="1"/>
  <c r="S34" i="36"/>
  <c r="F34" i="36" s="1"/>
  <c r="S38" i="36"/>
  <c r="F38" i="36" s="1"/>
  <c r="S42" i="36"/>
  <c r="F42" i="36" s="1"/>
  <c r="S44" i="36"/>
  <c r="F44" i="36" s="1"/>
  <c r="S47" i="36"/>
  <c r="F47" i="36" s="1"/>
  <c r="S45" i="36"/>
  <c r="F45" i="36" s="1"/>
  <c r="S6" i="36"/>
  <c r="F6" i="36" s="1"/>
  <c r="S9" i="36"/>
  <c r="F9" i="36" s="1"/>
  <c r="S13" i="36"/>
  <c r="F13" i="36" s="1"/>
  <c r="S17" i="36"/>
  <c r="F17" i="36" s="1"/>
  <c r="S21" i="36"/>
  <c r="F21" i="36" s="1"/>
  <c r="S8" i="36"/>
  <c r="F8" i="36" s="1"/>
  <c r="S12" i="36"/>
  <c r="F12" i="36" s="1"/>
  <c r="S16" i="36"/>
  <c r="F16" i="36" s="1"/>
  <c r="S20" i="36"/>
  <c r="F20" i="36" s="1"/>
  <c r="S25" i="36"/>
  <c r="F25" i="36" s="1"/>
  <c r="F31" i="48" s="1"/>
  <c r="S29" i="36"/>
  <c r="F29" i="36" s="1"/>
  <c r="S33" i="36"/>
  <c r="F33" i="36" s="1"/>
  <c r="S26" i="36"/>
  <c r="F26" i="36" s="1"/>
  <c r="F32" i="48" s="1"/>
  <c r="S30" i="36"/>
  <c r="F30" i="36" s="1"/>
  <c r="S35" i="36"/>
  <c r="F35" i="36" s="1"/>
  <c r="S39" i="36"/>
  <c r="F39" i="36" s="1"/>
  <c r="S36" i="36"/>
  <c r="F36" i="36" s="1"/>
  <c r="S40" i="36"/>
  <c r="F40" i="36" s="1"/>
  <c r="S43" i="36"/>
  <c r="F43" i="36" s="1"/>
  <c r="S46" i="36"/>
  <c r="F46" i="36" s="1"/>
  <c r="D6" i="35"/>
  <c r="E6" i="35"/>
  <c r="F6" i="35"/>
  <c r="G6" i="35"/>
  <c r="E5" i="35"/>
  <c r="F5" i="35"/>
  <c r="G5" i="35"/>
  <c r="D5" i="35"/>
  <c r="C6" i="35"/>
  <c r="B6" i="35"/>
  <c r="C5" i="35"/>
  <c r="B5" i="35"/>
  <c r="D6" i="34"/>
  <c r="E6" i="34"/>
  <c r="F6" i="34"/>
  <c r="G6" i="34"/>
  <c r="E5" i="34"/>
  <c r="F5" i="34"/>
  <c r="G5" i="34"/>
  <c r="D5" i="34"/>
  <c r="C6" i="34"/>
  <c r="B6" i="34"/>
  <c r="C5" i="34"/>
  <c r="B5" i="34"/>
  <c r="B6" i="12"/>
  <c r="B7" i="12"/>
  <c r="B6" i="11"/>
  <c r="B7" i="11"/>
  <c r="B6" i="23"/>
  <c r="B6" i="8"/>
  <c r="B6" i="9"/>
  <c r="L6" i="23"/>
  <c r="J6" i="23"/>
  <c r="H6" i="23"/>
  <c r="D6" i="23"/>
  <c r="C6" i="23"/>
  <c r="X2" i="20" l="1"/>
  <c r="B6" i="20"/>
  <c r="X2" i="19"/>
  <c r="AE22" i="51" l="1"/>
  <c r="AC22" i="51" s="1"/>
  <c r="AE21" i="51"/>
  <c r="AC21" i="51" s="1"/>
  <c r="AE20" i="51"/>
  <c r="AC20" i="51" s="1"/>
  <c r="AE19" i="51"/>
  <c r="AC19" i="51" s="1"/>
  <c r="AE18" i="51"/>
  <c r="AC18" i="51" s="1"/>
  <c r="AE17" i="51"/>
  <c r="AC17" i="51" s="1"/>
  <c r="AE16" i="51"/>
  <c r="AC16" i="51" s="1"/>
  <c r="AE15" i="51"/>
  <c r="AC15" i="51" s="1"/>
  <c r="AE14" i="51"/>
  <c r="AC14" i="51" s="1"/>
  <c r="AE13" i="51"/>
  <c r="AC13" i="51" s="1"/>
  <c r="AE12" i="51"/>
  <c r="AC12" i="51" s="1"/>
  <c r="AE11" i="51"/>
  <c r="AC11" i="51" s="1"/>
  <c r="AE10" i="51"/>
  <c r="AC10" i="51" s="1"/>
  <c r="AE9" i="51"/>
  <c r="AC9" i="51" s="1"/>
  <c r="AE8" i="51"/>
  <c r="AC8" i="51" s="1"/>
  <c r="AE7" i="51"/>
  <c r="AC7" i="51" s="1"/>
  <c r="AE6" i="51"/>
  <c r="AC6" i="51" s="1"/>
  <c r="AE5" i="51"/>
  <c r="AC5" i="51" s="1"/>
  <c r="AR2" i="19"/>
  <c r="BC5" i="19"/>
  <c r="BA5" i="19"/>
  <c r="AY5" i="19"/>
  <c r="AW5" i="19"/>
  <c r="AU5" i="19"/>
  <c r="AS5" i="19"/>
  <c r="AQ5" i="19"/>
  <c r="AO5" i="19"/>
  <c r="AM5" i="19"/>
  <c r="AJ5" i="19"/>
  <c r="AH5" i="19"/>
  <c r="AF5" i="19"/>
  <c r="AD5" i="19"/>
  <c r="AB5" i="19"/>
  <c r="Z5" i="19"/>
  <c r="X5" i="19"/>
  <c r="V5" i="19"/>
  <c r="T5" i="19"/>
  <c r="BD4" i="19"/>
  <c r="BB4" i="19"/>
  <c r="AZ4" i="19"/>
  <c r="AX4" i="19"/>
  <c r="AV4" i="19"/>
  <c r="AT4" i="19"/>
  <c r="AR4" i="19"/>
  <c r="AP4" i="19"/>
  <c r="AN4" i="19"/>
  <c r="AI4" i="19"/>
  <c r="AG4" i="19"/>
  <c r="AE4" i="19"/>
  <c r="AC4" i="19"/>
  <c r="AA4" i="19"/>
  <c r="Y4" i="19"/>
  <c r="W4" i="19"/>
  <c r="U4" i="19"/>
  <c r="S4" i="19"/>
  <c r="BD5" i="19"/>
  <c r="BB5" i="19"/>
  <c r="AZ5" i="19"/>
  <c r="AX5" i="19"/>
  <c r="AV5" i="19"/>
  <c r="AT5" i="19"/>
  <c r="AR5" i="19"/>
  <c r="AP5" i="19"/>
  <c r="AN5" i="19"/>
  <c r="AI5" i="19"/>
  <c r="AG5" i="19"/>
  <c r="AE5" i="19"/>
  <c r="AC5" i="19"/>
  <c r="AA5" i="19"/>
  <c r="Y5" i="19"/>
  <c r="W5" i="19"/>
  <c r="U5" i="19"/>
  <c r="S5" i="19"/>
  <c r="BC4" i="19"/>
  <c r="BA4" i="19"/>
  <c r="BA6" i="19" s="1"/>
  <c r="AY4" i="19"/>
  <c r="AW4" i="19"/>
  <c r="AU4" i="19"/>
  <c r="AS4" i="19"/>
  <c r="AQ4" i="19"/>
  <c r="AO4" i="19"/>
  <c r="AM4" i="19"/>
  <c r="AJ4" i="19"/>
  <c r="AH4" i="19"/>
  <c r="AF4" i="19"/>
  <c r="AD4" i="19"/>
  <c r="AB4" i="19"/>
  <c r="Z4" i="19"/>
  <c r="X4" i="19"/>
  <c r="V4" i="19"/>
  <c r="T4" i="19"/>
  <c r="BD4" i="20"/>
  <c r="BB4" i="20"/>
  <c r="AZ4" i="20"/>
  <c r="AX4" i="20"/>
  <c r="AV4" i="20"/>
  <c r="AT4" i="20"/>
  <c r="AR4" i="20"/>
  <c r="AP4" i="20"/>
  <c r="AN4" i="20"/>
  <c r="BC4" i="20"/>
  <c r="BA4" i="20"/>
  <c r="AY4" i="20"/>
  <c r="AW4" i="20"/>
  <c r="AU4" i="20"/>
  <c r="AS4" i="20"/>
  <c r="AQ4" i="20"/>
  <c r="AO4" i="20"/>
  <c r="AM4" i="20"/>
  <c r="AI4" i="20"/>
  <c r="T4" i="20"/>
  <c r="V4" i="20"/>
  <c r="X4" i="20"/>
  <c r="Z4" i="20"/>
  <c r="AB4" i="20"/>
  <c r="AD4" i="20"/>
  <c r="AF4" i="20"/>
  <c r="AH4" i="20"/>
  <c r="AJ4" i="20"/>
  <c r="S4" i="20"/>
  <c r="U4" i="20"/>
  <c r="W4" i="20"/>
  <c r="Y4" i="20"/>
  <c r="AA4" i="20"/>
  <c r="AC4" i="20"/>
  <c r="AE4" i="20"/>
  <c r="AG4" i="20"/>
  <c r="T6" i="19" l="1"/>
  <c r="AB6" i="19"/>
  <c r="AS6" i="19"/>
  <c r="Z6" i="19"/>
  <c r="Z54" i="19" s="1"/>
  <c r="AH6" i="19"/>
  <c r="AH49" i="19" s="1"/>
  <c r="AQ6" i="19"/>
  <c r="AQ51" i="19" s="1"/>
  <c r="AY6" i="19"/>
  <c r="AY48" i="19" s="1"/>
  <c r="V6" i="19"/>
  <c r="V55" i="19" s="1"/>
  <c r="AD6" i="19"/>
  <c r="AD51" i="19" s="1"/>
  <c r="AU6" i="19"/>
  <c r="AU52" i="19" s="1"/>
  <c r="BC6" i="19"/>
  <c r="BC49" i="19" s="1"/>
  <c r="X6" i="19"/>
  <c r="X51" i="19" s="1"/>
  <c r="AF6" i="19"/>
  <c r="AF55" i="19" s="1"/>
  <c r="AO6" i="19"/>
  <c r="AO52" i="19" s="1"/>
  <c r="AW6" i="19"/>
  <c r="AW49" i="19" s="1"/>
  <c r="AJ6" i="19"/>
  <c r="AJ54" i="19" s="1"/>
  <c r="U2" i="43"/>
  <c r="T51" i="19"/>
  <c r="T49" i="19"/>
  <c r="T54" i="19"/>
  <c r="T55" i="19"/>
  <c r="T8" i="19"/>
  <c r="T52" i="19"/>
  <c r="T4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33" i="19"/>
  <c r="T34" i="19"/>
  <c r="T35" i="19"/>
  <c r="T36" i="19"/>
  <c r="T37" i="19"/>
  <c r="T38" i="19"/>
  <c r="T39" i="19"/>
  <c r="T40" i="19"/>
  <c r="T41" i="19"/>
  <c r="T42" i="19"/>
  <c r="T43" i="19"/>
  <c r="T44" i="19"/>
  <c r="T45" i="19"/>
  <c r="T46" i="19"/>
  <c r="X13" i="19"/>
  <c r="X35" i="19"/>
  <c r="AB51" i="19"/>
  <c r="AB49" i="19"/>
  <c r="AB54" i="19"/>
  <c r="AB55" i="19"/>
  <c r="AB8" i="19"/>
  <c r="AB52" i="19"/>
  <c r="AB48" i="19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33" i="19"/>
  <c r="AB34" i="19"/>
  <c r="AB35" i="19"/>
  <c r="AB36" i="19"/>
  <c r="AB37" i="19"/>
  <c r="AB38" i="19"/>
  <c r="AB39" i="19"/>
  <c r="AB40" i="19"/>
  <c r="AB41" i="19"/>
  <c r="AB42" i="19"/>
  <c r="AB43" i="19"/>
  <c r="AB44" i="19"/>
  <c r="AB45" i="19"/>
  <c r="AB46" i="19"/>
  <c r="AS48" i="19"/>
  <c r="AS49" i="19"/>
  <c r="AS51" i="19"/>
  <c r="AS52" i="19"/>
  <c r="AS54" i="19"/>
  <c r="AS55" i="19"/>
  <c r="AS9" i="19"/>
  <c r="AS10" i="19"/>
  <c r="AS11" i="19"/>
  <c r="AS12" i="19"/>
  <c r="AS13" i="19"/>
  <c r="AS14" i="19"/>
  <c r="AS15" i="19"/>
  <c r="AS16" i="19"/>
  <c r="AS17" i="19"/>
  <c r="AS18" i="19"/>
  <c r="AS19" i="19"/>
  <c r="AS20" i="19"/>
  <c r="AS21" i="19"/>
  <c r="AS22" i="19"/>
  <c r="AS23" i="19"/>
  <c r="AS24" i="19"/>
  <c r="AS25" i="19"/>
  <c r="AS26" i="19"/>
  <c r="AS33" i="19"/>
  <c r="AS34" i="19"/>
  <c r="AS35" i="19"/>
  <c r="AS36" i="19"/>
  <c r="AS37" i="19"/>
  <c r="AS38" i="19"/>
  <c r="AS39" i="19"/>
  <c r="AS40" i="19"/>
  <c r="AS41" i="19"/>
  <c r="AS42" i="19"/>
  <c r="AS43" i="19"/>
  <c r="AS44" i="19"/>
  <c r="AS45" i="19"/>
  <c r="AS46" i="19"/>
  <c r="AS8" i="19"/>
  <c r="BA48" i="19"/>
  <c r="BA49" i="19"/>
  <c r="BA51" i="19"/>
  <c r="BA52" i="19"/>
  <c r="BA54" i="19"/>
  <c r="BA55" i="19"/>
  <c r="BA9" i="19"/>
  <c r="BA10" i="19"/>
  <c r="BA11" i="19"/>
  <c r="BA12" i="19"/>
  <c r="BA13" i="19"/>
  <c r="BA14" i="19"/>
  <c r="BA15" i="19"/>
  <c r="BA16" i="19"/>
  <c r="BA17" i="19"/>
  <c r="BA18" i="19"/>
  <c r="BA19" i="19"/>
  <c r="BA20" i="19"/>
  <c r="BA21" i="19"/>
  <c r="BA22" i="19"/>
  <c r="BA23" i="19"/>
  <c r="BA24" i="19"/>
  <c r="BA25" i="19"/>
  <c r="BA26" i="19"/>
  <c r="BA33" i="19"/>
  <c r="BA34" i="19"/>
  <c r="BA35" i="19"/>
  <c r="BA36" i="19"/>
  <c r="BA37" i="19"/>
  <c r="BA38" i="19"/>
  <c r="BA39" i="19"/>
  <c r="BA40" i="19"/>
  <c r="BA41" i="19"/>
  <c r="BA42" i="19"/>
  <c r="BA43" i="19"/>
  <c r="BA44" i="19"/>
  <c r="BA45" i="19"/>
  <c r="BA46" i="19"/>
  <c r="BA8" i="19"/>
  <c r="R5" i="19"/>
  <c r="AM6" i="19"/>
  <c r="AL4" i="19"/>
  <c r="U6" i="19"/>
  <c r="Y6" i="19"/>
  <c r="AC6" i="19"/>
  <c r="AG6" i="19"/>
  <c r="AN6" i="19"/>
  <c r="AR6" i="19"/>
  <c r="AV6" i="19"/>
  <c r="AZ6" i="19"/>
  <c r="BD6" i="19"/>
  <c r="AL5" i="19"/>
  <c r="S6" i="19"/>
  <c r="R4" i="19"/>
  <c r="W6" i="19"/>
  <c r="AA6" i="19"/>
  <c r="AE6" i="19"/>
  <c r="AI6" i="19"/>
  <c r="AP6" i="19"/>
  <c r="AT6" i="19"/>
  <c r="AX6" i="19"/>
  <c r="BB6" i="19"/>
  <c r="P2" i="44"/>
  <c r="P2" i="46"/>
  <c r="L2" i="44"/>
  <c r="L2" i="46"/>
  <c r="H2" i="44"/>
  <c r="H2" i="46"/>
  <c r="D2" i="44"/>
  <c r="D2" i="46"/>
  <c r="S2" i="44"/>
  <c r="S2" i="46"/>
  <c r="O2" i="44"/>
  <c r="O2" i="46"/>
  <c r="K2" i="44"/>
  <c r="K2" i="46"/>
  <c r="G2" i="44"/>
  <c r="G2" i="46"/>
  <c r="T2" i="44"/>
  <c r="T2" i="46"/>
  <c r="R2" i="44"/>
  <c r="R2" i="46"/>
  <c r="N2" i="44"/>
  <c r="N2" i="46"/>
  <c r="J2" i="44"/>
  <c r="J2" i="46"/>
  <c r="F2" i="44"/>
  <c r="F2" i="46"/>
  <c r="U2" i="44"/>
  <c r="U2" i="46"/>
  <c r="Q2" i="44"/>
  <c r="Q2" i="46"/>
  <c r="M2" i="44"/>
  <c r="M2" i="46"/>
  <c r="I2" i="44"/>
  <c r="I2" i="46"/>
  <c r="E2" i="44"/>
  <c r="E2" i="46"/>
  <c r="AM6" i="20"/>
  <c r="AM7" i="20"/>
  <c r="AM8" i="20"/>
  <c r="AM9" i="20"/>
  <c r="AM10" i="20"/>
  <c r="AM11" i="20"/>
  <c r="AM12" i="20"/>
  <c r="AM13" i="20"/>
  <c r="AM14" i="20"/>
  <c r="AM15" i="20"/>
  <c r="AM16" i="20"/>
  <c r="AM17" i="20"/>
  <c r="AM18" i="20"/>
  <c r="AM19" i="20"/>
  <c r="AM20" i="20"/>
  <c r="AM21" i="20"/>
  <c r="AM22" i="20"/>
  <c r="AM23" i="20"/>
  <c r="AM24" i="20"/>
  <c r="AM25" i="20"/>
  <c r="AM26" i="20"/>
  <c r="AM27" i="20"/>
  <c r="AM28" i="20"/>
  <c r="AM29" i="20"/>
  <c r="AM30" i="20"/>
  <c r="AM31" i="20"/>
  <c r="AM32" i="20"/>
  <c r="AM33" i="20"/>
  <c r="AM34" i="20"/>
  <c r="AM35" i="20"/>
  <c r="AM36" i="20"/>
  <c r="AM37" i="20"/>
  <c r="AM38" i="20"/>
  <c r="AM39" i="20"/>
  <c r="AM40" i="20"/>
  <c r="AM41" i="20"/>
  <c r="AM42" i="20"/>
  <c r="AM44" i="20"/>
  <c r="AM45" i="20"/>
  <c r="AM46" i="20"/>
  <c r="AM47" i="20"/>
  <c r="AM48" i="20"/>
  <c r="AM49" i="20"/>
  <c r="AM50" i="20"/>
  <c r="AM51" i="20"/>
  <c r="AL4" i="20"/>
  <c r="AQ6" i="20"/>
  <c r="AQ7" i="20"/>
  <c r="AQ8" i="20"/>
  <c r="AQ9" i="20"/>
  <c r="AQ10" i="20"/>
  <c r="AQ11" i="20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4" i="20"/>
  <c r="AQ45" i="20"/>
  <c r="AQ46" i="20"/>
  <c r="AQ47" i="20"/>
  <c r="AQ48" i="20"/>
  <c r="AQ49" i="20"/>
  <c r="AQ50" i="20"/>
  <c r="AQ51" i="20"/>
  <c r="AU6" i="20"/>
  <c r="AU7" i="20"/>
  <c r="AU8" i="20"/>
  <c r="AU9" i="20"/>
  <c r="AU10" i="20"/>
  <c r="AU11" i="20"/>
  <c r="AU12" i="20"/>
  <c r="AU13" i="20"/>
  <c r="AU14" i="20"/>
  <c r="AU15" i="20"/>
  <c r="AU16" i="20"/>
  <c r="AU17" i="20"/>
  <c r="AU18" i="20"/>
  <c r="AU19" i="20"/>
  <c r="AU20" i="20"/>
  <c r="AU21" i="20"/>
  <c r="AU22" i="20"/>
  <c r="AU23" i="20"/>
  <c r="AU24" i="20"/>
  <c r="AU25" i="20"/>
  <c r="AU26" i="20"/>
  <c r="AU27" i="20"/>
  <c r="AU28" i="20"/>
  <c r="AU29" i="20"/>
  <c r="AU30" i="20"/>
  <c r="AU31" i="20"/>
  <c r="AU32" i="20"/>
  <c r="AU33" i="20"/>
  <c r="AU34" i="20"/>
  <c r="AU35" i="20"/>
  <c r="AU36" i="20"/>
  <c r="AU37" i="20"/>
  <c r="AU38" i="20"/>
  <c r="AU39" i="20"/>
  <c r="AU40" i="20"/>
  <c r="AU41" i="20"/>
  <c r="AU42" i="20"/>
  <c r="AU44" i="20"/>
  <c r="AU45" i="20"/>
  <c r="AU46" i="20"/>
  <c r="AU47" i="20"/>
  <c r="AU48" i="20"/>
  <c r="AU49" i="20"/>
  <c r="AU50" i="20"/>
  <c r="AU51" i="20"/>
  <c r="AY6" i="20"/>
  <c r="AY7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4" i="20"/>
  <c r="AY45" i="20"/>
  <c r="AY46" i="20"/>
  <c r="AY47" i="20"/>
  <c r="AY48" i="20"/>
  <c r="AY49" i="20"/>
  <c r="AY50" i="20"/>
  <c r="AY51" i="20"/>
  <c r="BC6" i="20"/>
  <c r="BC7" i="20"/>
  <c r="BC8" i="20"/>
  <c r="BC9" i="20"/>
  <c r="BC10" i="20"/>
  <c r="BC11" i="20"/>
  <c r="BC12" i="20"/>
  <c r="BC13" i="20"/>
  <c r="BC14" i="20"/>
  <c r="BC15" i="20"/>
  <c r="BC16" i="20"/>
  <c r="BC17" i="20"/>
  <c r="BC18" i="20"/>
  <c r="BC19" i="20"/>
  <c r="BC20" i="20"/>
  <c r="BC21" i="20"/>
  <c r="BC22" i="20"/>
  <c r="BC23" i="20"/>
  <c r="BC24" i="20"/>
  <c r="BC25" i="20"/>
  <c r="BC26" i="20"/>
  <c r="BC27" i="20"/>
  <c r="BC28" i="20"/>
  <c r="BC29" i="20"/>
  <c r="BC30" i="20"/>
  <c r="BC31" i="20"/>
  <c r="BC32" i="20"/>
  <c r="BC33" i="20"/>
  <c r="BC34" i="20"/>
  <c r="BC35" i="20"/>
  <c r="BC36" i="20"/>
  <c r="BC37" i="20"/>
  <c r="BC38" i="20"/>
  <c r="BC39" i="20"/>
  <c r="BC40" i="20"/>
  <c r="BC41" i="20"/>
  <c r="BC42" i="20"/>
  <c r="BC44" i="20"/>
  <c r="BC45" i="20"/>
  <c r="BC46" i="20"/>
  <c r="BC47" i="20"/>
  <c r="BC48" i="20"/>
  <c r="BC49" i="20"/>
  <c r="BC50" i="20"/>
  <c r="BC51" i="20"/>
  <c r="AP6" i="20"/>
  <c r="AP7" i="20"/>
  <c r="AP8" i="20"/>
  <c r="AP9" i="20"/>
  <c r="AP10" i="20"/>
  <c r="AP11" i="20"/>
  <c r="AP12" i="20"/>
  <c r="AP13" i="20"/>
  <c r="AP14" i="20"/>
  <c r="AP15" i="20"/>
  <c r="AP16" i="20"/>
  <c r="AP17" i="20"/>
  <c r="AP18" i="20"/>
  <c r="AP19" i="20"/>
  <c r="AP20" i="20"/>
  <c r="AP21" i="20"/>
  <c r="AP22" i="20"/>
  <c r="AP23" i="20"/>
  <c r="AP24" i="20"/>
  <c r="AP25" i="20"/>
  <c r="AP26" i="20"/>
  <c r="AP27" i="20"/>
  <c r="AP28" i="20"/>
  <c r="AP29" i="20"/>
  <c r="AP30" i="20"/>
  <c r="AP31" i="20"/>
  <c r="AP32" i="20"/>
  <c r="AP33" i="20"/>
  <c r="AP34" i="20"/>
  <c r="AP35" i="20"/>
  <c r="AP36" i="20"/>
  <c r="AP37" i="20"/>
  <c r="AP38" i="20"/>
  <c r="AP39" i="20"/>
  <c r="AP40" i="20"/>
  <c r="AP41" i="20"/>
  <c r="AP42" i="20"/>
  <c r="AP44" i="20"/>
  <c r="AP45" i="20"/>
  <c r="AP46" i="20"/>
  <c r="AP47" i="20"/>
  <c r="AP48" i="20"/>
  <c r="AP49" i="20"/>
  <c r="AP50" i="20"/>
  <c r="AP51" i="20"/>
  <c r="AT6" i="20"/>
  <c r="AT7" i="20"/>
  <c r="AT8" i="20"/>
  <c r="AT9" i="20"/>
  <c r="AT10" i="20"/>
  <c r="AT11" i="20"/>
  <c r="AT12" i="20"/>
  <c r="AT13" i="20"/>
  <c r="AT14" i="20"/>
  <c r="AT15" i="20"/>
  <c r="AT16" i="20"/>
  <c r="AT17" i="20"/>
  <c r="AT18" i="20"/>
  <c r="AT19" i="20"/>
  <c r="AT20" i="20"/>
  <c r="AT21" i="20"/>
  <c r="AT22" i="20"/>
  <c r="AT23" i="20"/>
  <c r="AT24" i="20"/>
  <c r="AT25" i="20"/>
  <c r="AT26" i="20"/>
  <c r="AT27" i="20"/>
  <c r="AT28" i="20"/>
  <c r="AT29" i="20"/>
  <c r="AT30" i="20"/>
  <c r="AT31" i="20"/>
  <c r="AT32" i="20"/>
  <c r="AT33" i="20"/>
  <c r="AT34" i="20"/>
  <c r="AT35" i="20"/>
  <c r="AT36" i="20"/>
  <c r="AT37" i="20"/>
  <c r="AT38" i="20"/>
  <c r="AT39" i="20"/>
  <c r="AT40" i="20"/>
  <c r="AT41" i="20"/>
  <c r="AT42" i="20"/>
  <c r="AT44" i="20"/>
  <c r="AT45" i="20"/>
  <c r="AT46" i="20"/>
  <c r="AT47" i="20"/>
  <c r="AT48" i="20"/>
  <c r="AT49" i="20"/>
  <c r="AT50" i="20"/>
  <c r="AT51" i="20"/>
  <c r="AX6" i="20"/>
  <c r="AX7" i="20"/>
  <c r="AX8" i="20"/>
  <c r="AX9" i="20"/>
  <c r="AX10" i="20"/>
  <c r="AX11" i="20"/>
  <c r="AX12" i="20"/>
  <c r="AX13" i="20"/>
  <c r="AX14" i="20"/>
  <c r="AX15" i="20"/>
  <c r="AX16" i="20"/>
  <c r="AX17" i="20"/>
  <c r="AX18" i="20"/>
  <c r="AX19" i="20"/>
  <c r="AX20" i="20"/>
  <c r="AX21" i="20"/>
  <c r="AX22" i="20"/>
  <c r="AX23" i="20"/>
  <c r="AX24" i="20"/>
  <c r="AX25" i="20"/>
  <c r="AX26" i="20"/>
  <c r="AX27" i="20"/>
  <c r="AX28" i="20"/>
  <c r="AX29" i="20"/>
  <c r="AX30" i="20"/>
  <c r="AX31" i="20"/>
  <c r="AX32" i="20"/>
  <c r="AX33" i="20"/>
  <c r="AX34" i="20"/>
  <c r="AX35" i="20"/>
  <c r="AX36" i="20"/>
  <c r="AX37" i="20"/>
  <c r="AX38" i="20"/>
  <c r="AX39" i="20"/>
  <c r="AX40" i="20"/>
  <c r="AX41" i="20"/>
  <c r="AX42" i="20"/>
  <c r="AX44" i="20"/>
  <c r="AX45" i="20"/>
  <c r="AX46" i="20"/>
  <c r="AX47" i="20"/>
  <c r="AX48" i="20"/>
  <c r="AX49" i="20"/>
  <c r="AX50" i="20"/>
  <c r="AX51" i="20"/>
  <c r="BB6" i="20"/>
  <c r="BB7" i="20"/>
  <c r="BB8" i="20"/>
  <c r="BB9" i="20"/>
  <c r="BB10" i="20"/>
  <c r="BB11" i="20"/>
  <c r="BB12" i="20"/>
  <c r="BB13" i="20"/>
  <c r="BB14" i="20"/>
  <c r="BB15" i="20"/>
  <c r="BB16" i="20"/>
  <c r="BB17" i="20"/>
  <c r="BB18" i="20"/>
  <c r="BB19" i="20"/>
  <c r="BB20" i="20"/>
  <c r="BB21" i="20"/>
  <c r="BB22" i="20"/>
  <c r="BB23" i="20"/>
  <c r="BB24" i="20"/>
  <c r="BB25" i="20"/>
  <c r="BB26" i="20"/>
  <c r="BB27" i="20"/>
  <c r="BB28" i="20"/>
  <c r="BB29" i="20"/>
  <c r="BB30" i="20"/>
  <c r="BB31" i="20"/>
  <c r="BB32" i="20"/>
  <c r="BB33" i="20"/>
  <c r="BB34" i="20"/>
  <c r="BB35" i="20"/>
  <c r="BB36" i="20"/>
  <c r="BB37" i="20"/>
  <c r="BB38" i="20"/>
  <c r="BB39" i="20"/>
  <c r="BB40" i="20"/>
  <c r="BB41" i="20"/>
  <c r="BB42" i="20"/>
  <c r="BB44" i="20"/>
  <c r="BB45" i="20"/>
  <c r="BB46" i="20"/>
  <c r="BB47" i="20"/>
  <c r="BB48" i="20"/>
  <c r="BB49" i="20"/>
  <c r="BB50" i="20"/>
  <c r="BB51" i="20"/>
  <c r="AO6" i="20"/>
  <c r="AO7" i="20"/>
  <c r="AO8" i="20"/>
  <c r="AO9" i="20"/>
  <c r="AO10" i="20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44" i="20"/>
  <c r="AO45" i="20"/>
  <c r="AO46" i="20"/>
  <c r="AO47" i="20"/>
  <c r="AO48" i="20"/>
  <c r="AO49" i="20"/>
  <c r="AO50" i="20"/>
  <c r="AO51" i="20"/>
  <c r="AS6" i="20"/>
  <c r="AS7" i="20"/>
  <c r="AS8" i="20"/>
  <c r="AS9" i="20"/>
  <c r="AS10" i="20"/>
  <c r="AS11" i="20"/>
  <c r="AS12" i="20"/>
  <c r="AS13" i="20"/>
  <c r="AS14" i="20"/>
  <c r="AS15" i="20"/>
  <c r="AS16" i="20"/>
  <c r="AS17" i="20"/>
  <c r="AS18" i="20"/>
  <c r="AS19" i="20"/>
  <c r="AS20" i="20"/>
  <c r="AS21" i="20"/>
  <c r="AS22" i="20"/>
  <c r="AS23" i="20"/>
  <c r="AS24" i="20"/>
  <c r="AS25" i="20"/>
  <c r="AS26" i="20"/>
  <c r="AS27" i="20"/>
  <c r="AS28" i="20"/>
  <c r="AS29" i="20"/>
  <c r="AS30" i="20"/>
  <c r="AS31" i="20"/>
  <c r="AS32" i="20"/>
  <c r="AS33" i="20"/>
  <c r="AS34" i="20"/>
  <c r="AS35" i="20"/>
  <c r="AS36" i="20"/>
  <c r="AS37" i="20"/>
  <c r="AS38" i="20"/>
  <c r="AS39" i="20"/>
  <c r="AS40" i="20"/>
  <c r="AS41" i="20"/>
  <c r="AS42" i="20"/>
  <c r="AS44" i="20"/>
  <c r="AS45" i="20"/>
  <c r="AS46" i="20"/>
  <c r="AS47" i="20"/>
  <c r="AS48" i="20"/>
  <c r="AS49" i="20"/>
  <c r="AS50" i="20"/>
  <c r="AS51" i="20"/>
  <c r="AW6" i="20"/>
  <c r="AW7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4" i="20"/>
  <c r="AW45" i="20"/>
  <c r="AW46" i="20"/>
  <c r="AW47" i="20"/>
  <c r="AW48" i="20"/>
  <c r="AW49" i="20"/>
  <c r="AW50" i="20"/>
  <c r="AW51" i="20"/>
  <c r="BA6" i="20"/>
  <c r="BA7" i="20"/>
  <c r="BA8" i="20"/>
  <c r="BA9" i="20"/>
  <c r="BA10" i="20"/>
  <c r="BA11" i="20"/>
  <c r="BA12" i="20"/>
  <c r="BA13" i="20"/>
  <c r="BA14" i="20"/>
  <c r="BA15" i="20"/>
  <c r="BA16" i="20"/>
  <c r="BA17" i="20"/>
  <c r="BA18" i="20"/>
  <c r="BA19" i="20"/>
  <c r="BA20" i="20"/>
  <c r="BA21" i="20"/>
  <c r="BA22" i="20"/>
  <c r="BA23" i="20"/>
  <c r="BA24" i="20"/>
  <c r="BA25" i="20"/>
  <c r="BA26" i="20"/>
  <c r="BA27" i="20"/>
  <c r="BA28" i="20"/>
  <c r="BA29" i="20"/>
  <c r="BA30" i="20"/>
  <c r="BA31" i="20"/>
  <c r="BA32" i="20"/>
  <c r="BA33" i="20"/>
  <c r="BA34" i="20"/>
  <c r="BA35" i="20"/>
  <c r="BA36" i="20"/>
  <c r="BA37" i="20"/>
  <c r="BA38" i="20"/>
  <c r="BA39" i="20"/>
  <c r="BA40" i="20"/>
  <c r="BA41" i="20"/>
  <c r="BA42" i="20"/>
  <c r="BA44" i="20"/>
  <c r="BA45" i="20"/>
  <c r="BA46" i="20"/>
  <c r="BA47" i="20"/>
  <c r="BA48" i="20"/>
  <c r="BA49" i="20"/>
  <c r="BA50" i="20"/>
  <c r="BA51" i="20"/>
  <c r="AN6" i="20"/>
  <c r="AN7" i="20"/>
  <c r="AN8" i="20"/>
  <c r="AN9" i="20"/>
  <c r="AN10" i="20"/>
  <c r="AN11" i="20"/>
  <c r="AN12" i="20"/>
  <c r="AN13" i="20"/>
  <c r="AN14" i="20"/>
  <c r="AN15" i="20"/>
  <c r="AN16" i="20"/>
  <c r="AN17" i="20"/>
  <c r="AN18" i="20"/>
  <c r="AN19" i="20"/>
  <c r="AN20" i="20"/>
  <c r="AN21" i="20"/>
  <c r="AN22" i="20"/>
  <c r="AN23" i="20"/>
  <c r="AN24" i="20"/>
  <c r="AN25" i="20"/>
  <c r="AN26" i="20"/>
  <c r="AN27" i="20"/>
  <c r="AN28" i="20"/>
  <c r="AN29" i="20"/>
  <c r="AN30" i="20"/>
  <c r="AN31" i="20"/>
  <c r="AN32" i="20"/>
  <c r="AN33" i="20"/>
  <c r="AN34" i="20"/>
  <c r="AN35" i="20"/>
  <c r="AN36" i="20"/>
  <c r="AN37" i="20"/>
  <c r="AN38" i="20"/>
  <c r="AN39" i="20"/>
  <c r="AN40" i="20"/>
  <c r="AN41" i="20"/>
  <c r="AN42" i="20"/>
  <c r="AN44" i="20"/>
  <c r="AN45" i="20"/>
  <c r="AN46" i="20"/>
  <c r="AN47" i="20"/>
  <c r="AN48" i="20"/>
  <c r="AN49" i="20"/>
  <c r="AN50" i="20"/>
  <c r="AN51" i="20"/>
  <c r="AR6" i="20"/>
  <c r="AR7" i="20"/>
  <c r="AR8" i="20"/>
  <c r="AR9" i="20"/>
  <c r="AR10" i="20"/>
  <c r="AR11" i="20"/>
  <c r="AR12" i="20"/>
  <c r="AR13" i="20"/>
  <c r="AR14" i="20"/>
  <c r="AR15" i="20"/>
  <c r="AR16" i="20"/>
  <c r="AR17" i="20"/>
  <c r="AR18" i="20"/>
  <c r="AR19" i="20"/>
  <c r="AR20" i="20"/>
  <c r="AR21" i="20"/>
  <c r="AR22" i="20"/>
  <c r="AR23" i="20"/>
  <c r="AR24" i="20"/>
  <c r="AR25" i="20"/>
  <c r="AR26" i="20"/>
  <c r="AR27" i="20"/>
  <c r="AR28" i="20"/>
  <c r="AR29" i="20"/>
  <c r="AR30" i="20"/>
  <c r="AR31" i="20"/>
  <c r="AR32" i="20"/>
  <c r="AR33" i="20"/>
  <c r="AR34" i="20"/>
  <c r="AR35" i="20"/>
  <c r="AR36" i="20"/>
  <c r="AR37" i="20"/>
  <c r="AR38" i="20"/>
  <c r="AR39" i="20"/>
  <c r="AR40" i="20"/>
  <c r="AR41" i="20"/>
  <c r="AR42" i="20"/>
  <c r="AR44" i="20"/>
  <c r="AR45" i="20"/>
  <c r="AR46" i="20"/>
  <c r="AR47" i="20"/>
  <c r="AR48" i="20"/>
  <c r="AR49" i="20"/>
  <c r="AR50" i="20"/>
  <c r="AR51" i="20"/>
  <c r="AV6" i="20"/>
  <c r="AV7" i="20"/>
  <c r="AV8" i="20"/>
  <c r="AV9" i="20"/>
  <c r="AV10" i="20"/>
  <c r="AV11" i="20"/>
  <c r="AV12" i="20"/>
  <c r="AV13" i="20"/>
  <c r="AV14" i="20"/>
  <c r="AV15" i="20"/>
  <c r="AV16" i="20"/>
  <c r="AV17" i="20"/>
  <c r="AV18" i="20"/>
  <c r="AV19" i="20"/>
  <c r="AV20" i="20"/>
  <c r="AV21" i="20"/>
  <c r="AV22" i="20"/>
  <c r="AV23" i="20"/>
  <c r="AV24" i="20"/>
  <c r="AV25" i="20"/>
  <c r="AV26" i="20"/>
  <c r="AV27" i="20"/>
  <c r="AV28" i="20"/>
  <c r="AV29" i="20"/>
  <c r="AV30" i="20"/>
  <c r="AV31" i="20"/>
  <c r="AV32" i="20"/>
  <c r="AV33" i="20"/>
  <c r="AV34" i="20"/>
  <c r="AV35" i="20"/>
  <c r="AV36" i="20"/>
  <c r="AV37" i="20"/>
  <c r="AV38" i="20"/>
  <c r="AV39" i="20"/>
  <c r="AV40" i="20"/>
  <c r="AV41" i="20"/>
  <c r="AV42" i="20"/>
  <c r="AV44" i="20"/>
  <c r="AV45" i="20"/>
  <c r="AV46" i="20"/>
  <c r="AV47" i="20"/>
  <c r="AV48" i="20"/>
  <c r="AV49" i="20"/>
  <c r="AV50" i="20"/>
  <c r="AV51" i="20"/>
  <c r="AZ6" i="20"/>
  <c r="AZ7" i="20"/>
  <c r="AZ8" i="20"/>
  <c r="AZ9" i="20"/>
  <c r="AZ10" i="20"/>
  <c r="AZ11" i="20"/>
  <c r="AZ12" i="20"/>
  <c r="AZ13" i="20"/>
  <c r="AZ14" i="20"/>
  <c r="AZ15" i="20"/>
  <c r="AZ16" i="20"/>
  <c r="AZ17" i="20"/>
  <c r="AZ18" i="20"/>
  <c r="AZ19" i="20"/>
  <c r="AZ20" i="20"/>
  <c r="AZ21" i="20"/>
  <c r="AZ22" i="20"/>
  <c r="AZ23" i="20"/>
  <c r="AZ24" i="20"/>
  <c r="AZ25" i="20"/>
  <c r="AZ26" i="20"/>
  <c r="AZ27" i="20"/>
  <c r="AZ28" i="20"/>
  <c r="AZ29" i="20"/>
  <c r="AZ30" i="20"/>
  <c r="AZ31" i="20"/>
  <c r="AZ32" i="20"/>
  <c r="AZ33" i="20"/>
  <c r="AZ34" i="20"/>
  <c r="AZ35" i="20"/>
  <c r="AZ36" i="20"/>
  <c r="AZ37" i="20"/>
  <c r="AZ38" i="20"/>
  <c r="AZ39" i="20"/>
  <c r="AZ40" i="20"/>
  <c r="AZ41" i="20"/>
  <c r="AZ42" i="20"/>
  <c r="AZ44" i="20"/>
  <c r="AZ45" i="20"/>
  <c r="AZ46" i="20"/>
  <c r="AZ47" i="20"/>
  <c r="AZ48" i="20"/>
  <c r="AZ49" i="20"/>
  <c r="AZ50" i="20"/>
  <c r="AZ51" i="20"/>
  <c r="BD6" i="20"/>
  <c r="BD7" i="20"/>
  <c r="BD8" i="20"/>
  <c r="BD9" i="20"/>
  <c r="BD10" i="20"/>
  <c r="BD11" i="20"/>
  <c r="BD12" i="20"/>
  <c r="BD13" i="20"/>
  <c r="BD14" i="20"/>
  <c r="BD15" i="20"/>
  <c r="BD16" i="20"/>
  <c r="BD17" i="20"/>
  <c r="BD18" i="20"/>
  <c r="BD19" i="20"/>
  <c r="BD20" i="20"/>
  <c r="BD21" i="20"/>
  <c r="BD22" i="20"/>
  <c r="BD23" i="20"/>
  <c r="BD24" i="20"/>
  <c r="BD25" i="20"/>
  <c r="BD26" i="20"/>
  <c r="BD27" i="20"/>
  <c r="BD28" i="20"/>
  <c r="BD29" i="20"/>
  <c r="BD30" i="20"/>
  <c r="BD31" i="20"/>
  <c r="BD32" i="20"/>
  <c r="BD33" i="20"/>
  <c r="BD34" i="20"/>
  <c r="BD35" i="20"/>
  <c r="BD36" i="20"/>
  <c r="BD37" i="20"/>
  <c r="BD38" i="20"/>
  <c r="BD39" i="20"/>
  <c r="BD40" i="20"/>
  <c r="BD41" i="20"/>
  <c r="BD42" i="20"/>
  <c r="BD44" i="20"/>
  <c r="BD45" i="20"/>
  <c r="BD46" i="20"/>
  <c r="BD47" i="20"/>
  <c r="BD48" i="20"/>
  <c r="BD49" i="20"/>
  <c r="BD50" i="20"/>
  <c r="BD51" i="20"/>
  <c r="AG6" i="20"/>
  <c r="AG7" i="20"/>
  <c r="AG8" i="20"/>
  <c r="AG9" i="20"/>
  <c r="AG10" i="20"/>
  <c r="AG11" i="20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7" i="20"/>
  <c r="AG38" i="20"/>
  <c r="AG39" i="20"/>
  <c r="AG40" i="20"/>
  <c r="AG41" i="20"/>
  <c r="AG42" i="20"/>
  <c r="AG44" i="20"/>
  <c r="AG45" i="20"/>
  <c r="AG46" i="20"/>
  <c r="AG47" i="20"/>
  <c r="AG48" i="20"/>
  <c r="AG49" i="20"/>
  <c r="AG50" i="20"/>
  <c r="AG51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4" i="20"/>
  <c r="AE45" i="20"/>
  <c r="AE46" i="20"/>
  <c r="AE47" i="20"/>
  <c r="AE48" i="20"/>
  <c r="AE49" i="20"/>
  <c r="AE50" i="20"/>
  <c r="AE51" i="20"/>
  <c r="AA6" i="20"/>
  <c r="AA7" i="20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4" i="20"/>
  <c r="AA45" i="20"/>
  <c r="AA46" i="20"/>
  <c r="AA47" i="20"/>
  <c r="AA48" i="20"/>
  <c r="AA49" i="20"/>
  <c r="AA50" i="20"/>
  <c r="AA51" i="20"/>
  <c r="W6" i="20"/>
  <c r="W7" i="20"/>
  <c r="W8" i="20"/>
  <c r="W9" i="20"/>
  <c r="W10" i="20"/>
  <c r="W11" i="20"/>
  <c r="W12" i="20"/>
  <c r="W13" i="20"/>
  <c r="W14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29" i="20"/>
  <c r="W30" i="20"/>
  <c r="W31" i="20"/>
  <c r="W32" i="20"/>
  <c r="W33" i="20"/>
  <c r="W34" i="20"/>
  <c r="W35" i="20"/>
  <c r="W36" i="20"/>
  <c r="W37" i="20"/>
  <c r="W38" i="20"/>
  <c r="W39" i="20"/>
  <c r="W40" i="20"/>
  <c r="W41" i="20"/>
  <c r="W42" i="20"/>
  <c r="W44" i="20"/>
  <c r="W45" i="20"/>
  <c r="W46" i="20"/>
  <c r="W47" i="20"/>
  <c r="W48" i="20"/>
  <c r="W49" i="20"/>
  <c r="W50" i="20"/>
  <c r="W51" i="20"/>
  <c r="S6" i="20"/>
  <c r="S7" i="20"/>
  <c r="S8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4" i="20"/>
  <c r="S45" i="20"/>
  <c r="S46" i="20"/>
  <c r="S47" i="20"/>
  <c r="S48" i="20"/>
  <c r="S49" i="20"/>
  <c r="S50" i="20"/>
  <c r="S51" i="20"/>
  <c r="AH6" i="20"/>
  <c r="AH7" i="20"/>
  <c r="AH8" i="20"/>
  <c r="AH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4" i="20"/>
  <c r="AH45" i="20"/>
  <c r="AH46" i="20"/>
  <c r="AH47" i="20"/>
  <c r="AH48" i="20"/>
  <c r="AH49" i="20"/>
  <c r="AH50" i="20"/>
  <c r="AH51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4" i="20"/>
  <c r="AD45" i="20"/>
  <c r="AD46" i="20"/>
  <c r="AD47" i="20"/>
  <c r="AD48" i="20"/>
  <c r="AD49" i="20"/>
  <c r="AD50" i="20"/>
  <c r="AD51" i="20"/>
  <c r="Z6" i="20"/>
  <c r="Z7" i="20"/>
  <c r="Z8" i="20"/>
  <c r="Z9" i="20"/>
  <c r="Z10" i="20"/>
  <c r="Z11" i="20"/>
  <c r="Z12" i="20"/>
  <c r="Z13" i="20"/>
  <c r="Z14" i="20"/>
  <c r="Z15" i="20"/>
  <c r="Z16" i="20"/>
  <c r="Z17" i="20"/>
  <c r="Z18" i="20"/>
  <c r="Z19" i="20"/>
  <c r="Z20" i="20"/>
  <c r="Z21" i="20"/>
  <c r="Z22" i="20"/>
  <c r="Z23" i="20"/>
  <c r="Z24" i="20"/>
  <c r="Z25" i="20"/>
  <c r="Z26" i="20"/>
  <c r="Z27" i="20"/>
  <c r="Z28" i="20"/>
  <c r="Z29" i="20"/>
  <c r="Z30" i="20"/>
  <c r="Z31" i="20"/>
  <c r="Z32" i="20"/>
  <c r="Z33" i="20"/>
  <c r="Z34" i="20"/>
  <c r="Z35" i="20"/>
  <c r="Z36" i="20"/>
  <c r="Z37" i="20"/>
  <c r="Z38" i="20"/>
  <c r="Z39" i="20"/>
  <c r="Z40" i="20"/>
  <c r="Z41" i="20"/>
  <c r="Z42" i="20"/>
  <c r="Z44" i="20"/>
  <c r="Z45" i="20"/>
  <c r="Z46" i="20"/>
  <c r="Z47" i="20"/>
  <c r="Z48" i="20"/>
  <c r="Z49" i="20"/>
  <c r="Z50" i="20"/>
  <c r="Z51" i="20"/>
  <c r="V6" i="20"/>
  <c r="V7" i="20"/>
  <c r="V8" i="20"/>
  <c r="V9" i="20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24" i="20"/>
  <c r="V25" i="20"/>
  <c r="V26" i="20"/>
  <c r="V27" i="20"/>
  <c r="V28" i="20"/>
  <c r="V29" i="20"/>
  <c r="V30" i="20"/>
  <c r="V31" i="20"/>
  <c r="V32" i="20"/>
  <c r="V33" i="20"/>
  <c r="V34" i="20"/>
  <c r="V35" i="20"/>
  <c r="V36" i="20"/>
  <c r="V37" i="20"/>
  <c r="V38" i="20"/>
  <c r="V39" i="20"/>
  <c r="V40" i="20"/>
  <c r="V41" i="20"/>
  <c r="V42" i="20"/>
  <c r="V44" i="20"/>
  <c r="V45" i="20"/>
  <c r="V46" i="20"/>
  <c r="V47" i="20"/>
  <c r="V48" i="20"/>
  <c r="V49" i="20"/>
  <c r="V50" i="20"/>
  <c r="V51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4" i="20"/>
  <c r="AC45" i="20"/>
  <c r="AC46" i="20"/>
  <c r="AC47" i="20"/>
  <c r="AC48" i="20"/>
  <c r="AC49" i="20"/>
  <c r="AC50" i="20"/>
  <c r="AC51" i="20"/>
  <c r="Y6" i="20"/>
  <c r="Y7" i="20"/>
  <c r="Y8" i="20"/>
  <c r="Y9" i="20"/>
  <c r="Y10" i="20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37" i="20"/>
  <c r="Y38" i="20"/>
  <c r="Y39" i="20"/>
  <c r="Y40" i="20"/>
  <c r="Y41" i="20"/>
  <c r="Y42" i="20"/>
  <c r="Y44" i="20"/>
  <c r="Y45" i="20"/>
  <c r="Y46" i="20"/>
  <c r="Y47" i="20"/>
  <c r="Y48" i="20"/>
  <c r="Y49" i="20"/>
  <c r="Y50" i="20"/>
  <c r="Y51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5" i="20"/>
  <c r="U36" i="20"/>
  <c r="U37" i="20"/>
  <c r="U38" i="20"/>
  <c r="U39" i="20"/>
  <c r="U40" i="20"/>
  <c r="U41" i="20"/>
  <c r="U42" i="20"/>
  <c r="U44" i="20"/>
  <c r="U45" i="20"/>
  <c r="U46" i="20"/>
  <c r="U47" i="20"/>
  <c r="U48" i="20"/>
  <c r="U49" i="20"/>
  <c r="U50" i="20"/>
  <c r="U51" i="20"/>
  <c r="AJ6" i="20"/>
  <c r="AJ7" i="20"/>
  <c r="AJ8" i="20"/>
  <c r="AJ9" i="20"/>
  <c r="AJ10" i="20"/>
  <c r="AJ11" i="20"/>
  <c r="AJ12" i="20"/>
  <c r="AJ13" i="20"/>
  <c r="AJ14" i="20"/>
  <c r="AJ15" i="20"/>
  <c r="AJ16" i="20"/>
  <c r="AJ17" i="20"/>
  <c r="AJ18" i="20"/>
  <c r="AJ19" i="20"/>
  <c r="AJ20" i="20"/>
  <c r="AJ21" i="20"/>
  <c r="AJ22" i="20"/>
  <c r="AJ23" i="20"/>
  <c r="AJ24" i="20"/>
  <c r="AJ25" i="20"/>
  <c r="AJ26" i="20"/>
  <c r="AJ27" i="20"/>
  <c r="AJ28" i="20"/>
  <c r="AJ29" i="20"/>
  <c r="AJ30" i="20"/>
  <c r="AJ31" i="20"/>
  <c r="AJ32" i="20"/>
  <c r="AJ33" i="20"/>
  <c r="AJ34" i="20"/>
  <c r="AJ35" i="20"/>
  <c r="AJ36" i="20"/>
  <c r="AJ37" i="20"/>
  <c r="AJ38" i="20"/>
  <c r="AJ39" i="20"/>
  <c r="AJ40" i="20"/>
  <c r="AJ41" i="20"/>
  <c r="AJ42" i="20"/>
  <c r="AJ44" i="20"/>
  <c r="AJ45" i="20"/>
  <c r="AJ46" i="20"/>
  <c r="AJ47" i="20"/>
  <c r="AJ48" i="20"/>
  <c r="AJ49" i="20"/>
  <c r="AJ50" i="20"/>
  <c r="AJ51" i="20"/>
  <c r="AF6" i="20"/>
  <c r="AF7" i="20"/>
  <c r="AF8" i="20"/>
  <c r="AF9" i="20"/>
  <c r="AF10" i="20"/>
  <c r="AF11" i="20"/>
  <c r="AF12" i="20"/>
  <c r="AF13" i="20"/>
  <c r="AF14" i="20"/>
  <c r="AF15" i="20"/>
  <c r="AF16" i="20"/>
  <c r="AF17" i="20"/>
  <c r="AF18" i="20"/>
  <c r="AF19" i="20"/>
  <c r="AF20" i="20"/>
  <c r="AF21" i="20"/>
  <c r="AF22" i="20"/>
  <c r="AF23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42" i="20"/>
  <c r="AF44" i="20"/>
  <c r="AF45" i="20"/>
  <c r="AF46" i="20"/>
  <c r="AF47" i="20"/>
  <c r="AF48" i="20"/>
  <c r="AF49" i="20"/>
  <c r="AF50" i="20"/>
  <c r="AF51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4" i="20"/>
  <c r="AB45" i="20"/>
  <c r="AB46" i="20"/>
  <c r="AB47" i="20"/>
  <c r="AB48" i="20"/>
  <c r="AB49" i="20"/>
  <c r="AB50" i="20"/>
  <c r="AB51" i="20"/>
  <c r="X6" i="20"/>
  <c r="X7" i="20"/>
  <c r="X8" i="20"/>
  <c r="X9" i="20"/>
  <c r="X10" i="20"/>
  <c r="X11" i="20"/>
  <c r="X12" i="20"/>
  <c r="X13" i="20"/>
  <c r="X14" i="20"/>
  <c r="X15" i="20"/>
  <c r="X16" i="20"/>
  <c r="X17" i="20"/>
  <c r="X18" i="20"/>
  <c r="X19" i="20"/>
  <c r="X20" i="20"/>
  <c r="X21" i="20"/>
  <c r="X22" i="20"/>
  <c r="X23" i="20"/>
  <c r="X24" i="20"/>
  <c r="X25" i="20"/>
  <c r="X26" i="20"/>
  <c r="X27" i="20"/>
  <c r="X28" i="20"/>
  <c r="X29" i="20"/>
  <c r="X30" i="20"/>
  <c r="X31" i="20"/>
  <c r="X32" i="20"/>
  <c r="X33" i="20"/>
  <c r="X34" i="20"/>
  <c r="X35" i="20"/>
  <c r="X36" i="20"/>
  <c r="X37" i="20"/>
  <c r="X38" i="20"/>
  <c r="X39" i="20"/>
  <c r="X40" i="20"/>
  <c r="X41" i="20"/>
  <c r="X42" i="20"/>
  <c r="X44" i="20"/>
  <c r="X45" i="20"/>
  <c r="X46" i="20"/>
  <c r="X47" i="20"/>
  <c r="X48" i="20"/>
  <c r="X49" i="20"/>
  <c r="X50" i="20"/>
  <c r="X51" i="20"/>
  <c r="T6" i="20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35" i="20"/>
  <c r="T36" i="20"/>
  <c r="T37" i="20"/>
  <c r="T38" i="20"/>
  <c r="T39" i="20"/>
  <c r="T40" i="20"/>
  <c r="T41" i="20"/>
  <c r="T42" i="20"/>
  <c r="T44" i="20"/>
  <c r="T45" i="20"/>
  <c r="T46" i="20"/>
  <c r="T47" i="20"/>
  <c r="T48" i="20"/>
  <c r="T49" i="20"/>
  <c r="T50" i="20"/>
  <c r="T51" i="20"/>
  <c r="AI6" i="20"/>
  <c r="AI7" i="20"/>
  <c r="AI8" i="20"/>
  <c r="AI9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4" i="20"/>
  <c r="AI45" i="20"/>
  <c r="AI46" i="20"/>
  <c r="AI47" i="20"/>
  <c r="AI48" i="20"/>
  <c r="AI49" i="20"/>
  <c r="AI50" i="20"/>
  <c r="AI51" i="20"/>
  <c r="R4" i="20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C7" i="12"/>
  <c r="C6" i="12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D5" i="11"/>
  <c r="C7" i="11"/>
  <c r="C6" i="11"/>
  <c r="D6" i="9"/>
  <c r="I6" i="9"/>
  <c r="J6" i="9"/>
  <c r="K6" i="9"/>
  <c r="L6" i="9"/>
  <c r="M6" i="9"/>
  <c r="N6" i="9"/>
  <c r="O6" i="9"/>
  <c r="P6" i="9"/>
  <c r="Q6" i="9"/>
  <c r="R6" i="9"/>
  <c r="S6" i="9"/>
  <c r="T6" i="9"/>
  <c r="U6" i="9"/>
  <c r="R5" i="9"/>
  <c r="S5" i="9"/>
  <c r="T5" i="9"/>
  <c r="U5" i="9"/>
  <c r="O5" i="9"/>
  <c r="P5" i="9"/>
  <c r="Q5" i="9"/>
  <c r="E5" i="9"/>
  <c r="F5" i="9"/>
  <c r="G5" i="9"/>
  <c r="H5" i="9"/>
  <c r="I5" i="9"/>
  <c r="J5" i="9"/>
  <c r="K5" i="9"/>
  <c r="L5" i="9"/>
  <c r="M5" i="9"/>
  <c r="N5" i="9"/>
  <c r="D5" i="9"/>
  <c r="C6" i="9"/>
  <c r="D6" i="8"/>
  <c r="J6" i="8"/>
  <c r="C6" i="8"/>
  <c r="D6" i="36"/>
  <c r="E6" i="36" s="1"/>
  <c r="D6" i="37"/>
  <c r="E6" i="37" s="1"/>
  <c r="D7" i="36"/>
  <c r="E7" i="36" s="1"/>
  <c r="D7" i="37"/>
  <c r="E7" i="37" s="1"/>
  <c r="D8" i="36"/>
  <c r="E8" i="36" s="1"/>
  <c r="D8" i="37"/>
  <c r="E8" i="37" s="1"/>
  <c r="D9" i="36"/>
  <c r="E9" i="36" s="1"/>
  <c r="D9" i="37"/>
  <c r="E9" i="37" s="1"/>
  <c r="D10" i="36"/>
  <c r="E10" i="36" s="1"/>
  <c r="D10" i="37"/>
  <c r="E10" i="37" s="1"/>
  <c r="D11" i="36"/>
  <c r="E11" i="36" s="1"/>
  <c r="D11" i="37"/>
  <c r="E11" i="37" s="1"/>
  <c r="D12" i="36"/>
  <c r="E12" i="36" s="1"/>
  <c r="D12" i="37"/>
  <c r="E12" i="37" s="1"/>
  <c r="D13" i="36"/>
  <c r="E13" i="36" s="1"/>
  <c r="D13" i="37"/>
  <c r="E13" i="37" s="1"/>
  <c r="D14" i="36"/>
  <c r="E14" i="36" s="1"/>
  <c r="D14" i="37"/>
  <c r="E14" i="37" s="1"/>
  <c r="D15" i="36"/>
  <c r="E15" i="36" s="1"/>
  <c r="D15" i="37"/>
  <c r="E15" i="37" s="1"/>
  <c r="D16" i="36"/>
  <c r="E16" i="36" s="1"/>
  <c r="D16" i="37"/>
  <c r="E16" i="37" s="1"/>
  <c r="D17" i="36"/>
  <c r="E17" i="36" s="1"/>
  <c r="D17" i="37"/>
  <c r="E17" i="37" s="1"/>
  <c r="D18" i="36"/>
  <c r="E18" i="36" s="1"/>
  <c r="D18" i="37"/>
  <c r="E18" i="37" s="1"/>
  <c r="D19" i="36"/>
  <c r="E19" i="36" s="1"/>
  <c r="D19" i="37"/>
  <c r="E19" i="37" s="1"/>
  <c r="D20" i="36"/>
  <c r="E20" i="36" s="1"/>
  <c r="D20" i="37"/>
  <c r="E20" i="37" s="1"/>
  <c r="D21" i="36"/>
  <c r="E21" i="36" s="1"/>
  <c r="D21" i="37"/>
  <c r="E21" i="37" s="1"/>
  <c r="D22" i="36"/>
  <c r="E22" i="36" s="1"/>
  <c r="D22" i="37"/>
  <c r="E22" i="37" s="1"/>
  <c r="D23" i="36"/>
  <c r="E23" i="36" s="1"/>
  <c r="D23" i="37"/>
  <c r="E23" i="37" s="1"/>
  <c r="D24" i="36"/>
  <c r="E24" i="36" s="1"/>
  <c r="D24" i="37"/>
  <c r="E24" i="37" s="1"/>
  <c r="D26" i="37"/>
  <c r="D27" i="37"/>
  <c r="D28" i="37"/>
  <c r="D25" i="36"/>
  <c r="D26" i="36"/>
  <c r="D27" i="36"/>
  <c r="E27" i="36" s="1"/>
  <c r="D29" i="37"/>
  <c r="E29" i="37" s="1"/>
  <c r="D28" i="36"/>
  <c r="E28" i="36" s="1"/>
  <c r="D30" i="37"/>
  <c r="E30" i="37" s="1"/>
  <c r="D29" i="36"/>
  <c r="E29" i="36" s="1"/>
  <c r="D31" i="37"/>
  <c r="E31" i="37" s="1"/>
  <c r="D30" i="36"/>
  <c r="E30" i="36" s="1"/>
  <c r="D32" i="37"/>
  <c r="E32" i="37" s="1"/>
  <c r="D31" i="36"/>
  <c r="E31" i="36" s="1"/>
  <c r="D33" i="37"/>
  <c r="E33" i="37" s="1"/>
  <c r="D32" i="36"/>
  <c r="E32" i="36" s="1"/>
  <c r="D34" i="37"/>
  <c r="E34" i="37" s="1"/>
  <c r="D33" i="36"/>
  <c r="E33" i="36" s="1"/>
  <c r="D35" i="37"/>
  <c r="E35" i="37" s="1"/>
  <c r="D34" i="36"/>
  <c r="E34" i="36" s="1"/>
  <c r="D36" i="37"/>
  <c r="E36" i="37" s="1"/>
  <c r="D35" i="36"/>
  <c r="E35" i="36" s="1"/>
  <c r="D37" i="37"/>
  <c r="E37" i="37" s="1"/>
  <c r="D36" i="36"/>
  <c r="E36" i="36" s="1"/>
  <c r="D38" i="37"/>
  <c r="E38" i="37" s="1"/>
  <c r="D37" i="36"/>
  <c r="E37" i="36" s="1"/>
  <c r="D39" i="37"/>
  <c r="E39" i="37" s="1"/>
  <c r="D38" i="36"/>
  <c r="E38" i="36" s="1"/>
  <c r="D40" i="37"/>
  <c r="E40" i="37" s="1"/>
  <c r="D39" i="36"/>
  <c r="E39" i="36" s="1"/>
  <c r="D41" i="37"/>
  <c r="E41" i="37" s="1"/>
  <c r="D40" i="36"/>
  <c r="E40" i="36" s="1"/>
  <c r="D42" i="37"/>
  <c r="E42" i="37" s="1"/>
  <c r="D42" i="36"/>
  <c r="E42" i="36" s="1"/>
  <c r="D44" i="37"/>
  <c r="E44" i="37" s="1"/>
  <c r="D43" i="36"/>
  <c r="E43" i="36" s="1"/>
  <c r="D45" i="37"/>
  <c r="E45" i="37" s="1"/>
  <c r="D46" i="37"/>
  <c r="D44" i="36"/>
  <c r="E44" i="36" s="1"/>
  <c r="D47" i="37"/>
  <c r="E47" i="37" s="1"/>
  <c r="D45" i="36"/>
  <c r="E45" i="36" s="1"/>
  <c r="D48" i="37"/>
  <c r="E48" i="37" s="1"/>
  <c r="D49" i="37"/>
  <c r="D46" i="36"/>
  <c r="E46" i="36" s="1"/>
  <c r="D50" i="37"/>
  <c r="E50" i="37" s="1"/>
  <c r="D47" i="36"/>
  <c r="E47" i="36" s="1"/>
  <c r="D51" i="37"/>
  <c r="E51" i="37" s="1"/>
  <c r="Z37" i="19" l="1"/>
  <c r="Z15" i="19"/>
  <c r="AJ11" i="19"/>
  <c r="V44" i="19"/>
  <c r="V22" i="19"/>
  <c r="AJ45" i="19"/>
  <c r="AJ23" i="19"/>
  <c r="AJ52" i="19"/>
  <c r="X25" i="19"/>
  <c r="X9" i="19"/>
  <c r="Z33" i="19"/>
  <c r="Z11" i="19"/>
  <c r="V40" i="19"/>
  <c r="V18" i="19"/>
  <c r="AJ41" i="19"/>
  <c r="AJ19" i="19"/>
  <c r="AJ49" i="19"/>
  <c r="X43" i="19"/>
  <c r="X21" i="19"/>
  <c r="X55" i="19"/>
  <c r="Z45" i="19"/>
  <c r="Z23" i="19"/>
  <c r="Z52" i="19"/>
  <c r="V36" i="19"/>
  <c r="V48" i="19"/>
  <c r="AJ33" i="19"/>
  <c r="AJ37" i="19"/>
  <c r="AJ15" i="19"/>
  <c r="X39" i="19"/>
  <c r="X17" i="19"/>
  <c r="Z41" i="19"/>
  <c r="Z19" i="19"/>
  <c r="Z49" i="19"/>
  <c r="V26" i="19"/>
  <c r="AJ44" i="19"/>
  <c r="AJ40" i="19"/>
  <c r="AJ36" i="19"/>
  <c r="AJ26" i="19"/>
  <c r="AJ22" i="19"/>
  <c r="AJ18" i="19"/>
  <c r="AJ14" i="19"/>
  <c r="AJ10" i="19"/>
  <c r="AJ8" i="19"/>
  <c r="AJ51" i="19"/>
  <c r="X46" i="19"/>
  <c r="X42" i="19"/>
  <c r="X38" i="19"/>
  <c r="X34" i="19"/>
  <c r="X24" i="19"/>
  <c r="X20" i="19"/>
  <c r="X16" i="19"/>
  <c r="X12" i="19"/>
  <c r="X48" i="19"/>
  <c r="X54" i="19"/>
  <c r="Z44" i="19"/>
  <c r="Z40" i="19"/>
  <c r="Z36" i="19"/>
  <c r="Z26" i="19"/>
  <c r="Z22" i="19"/>
  <c r="Z18" i="19"/>
  <c r="Z14" i="19"/>
  <c r="Z10" i="19"/>
  <c r="Z8" i="19"/>
  <c r="Z51" i="19"/>
  <c r="V43" i="19"/>
  <c r="V39" i="19"/>
  <c r="V35" i="19"/>
  <c r="V25" i="19"/>
  <c r="V21" i="19"/>
  <c r="V17" i="19"/>
  <c r="V54" i="19"/>
  <c r="AJ43" i="19"/>
  <c r="AJ39" i="19"/>
  <c r="AJ35" i="19"/>
  <c r="AJ25" i="19"/>
  <c r="AJ21" i="19"/>
  <c r="AJ17" i="19"/>
  <c r="AJ13" i="19"/>
  <c r="AJ9" i="19"/>
  <c r="AJ55" i="19"/>
  <c r="X45" i="19"/>
  <c r="X41" i="19"/>
  <c r="X37" i="19"/>
  <c r="X33" i="19"/>
  <c r="X23" i="19"/>
  <c r="X19" i="19"/>
  <c r="X15" i="19"/>
  <c r="X11" i="19"/>
  <c r="X52" i="19"/>
  <c r="X49" i="19"/>
  <c r="Z43" i="19"/>
  <c r="Z39" i="19"/>
  <c r="Z35" i="19"/>
  <c r="Z25" i="19"/>
  <c r="Z21" i="19"/>
  <c r="Z17" i="19"/>
  <c r="Z13" i="19"/>
  <c r="Z9" i="19"/>
  <c r="Z55" i="19"/>
  <c r="V46" i="19"/>
  <c r="V42" i="19"/>
  <c r="V38" i="19"/>
  <c r="V34" i="19"/>
  <c r="V24" i="19"/>
  <c r="V20" i="19"/>
  <c r="V15" i="19"/>
  <c r="V49" i="19"/>
  <c r="AJ46" i="19"/>
  <c r="AJ42" i="19"/>
  <c r="AJ38" i="19"/>
  <c r="AJ34" i="19"/>
  <c r="AJ24" i="19"/>
  <c r="AJ20" i="19"/>
  <c r="AJ16" i="19"/>
  <c r="AJ12" i="19"/>
  <c r="AJ48" i="19"/>
  <c r="X44" i="19"/>
  <c r="X40" i="19"/>
  <c r="X36" i="19"/>
  <c r="X26" i="19"/>
  <c r="X22" i="19"/>
  <c r="X18" i="19"/>
  <c r="X14" i="19"/>
  <c r="X10" i="19"/>
  <c r="X8" i="19"/>
  <c r="Z46" i="19"/>
  <c r="Z42" i="19"/>
  <c r="Z38" i="19"/>
  <c r="Z34" i="19"/>
  <c r="Z24" i="19"/>
  <c r="Z20" i="19"/>
  <c r="Z16" i="19"/>
  <c r="Z12" i="19"/>
  <c r="Z48" i="19"/>
  <c r="V45" i="19"/>
  <c r="V41" i="19"/>
  <c r="V37" i="19"/>
  <c r="V33" i="19"/>
  <c r="V23" i="19"/>
  <c r="V19" i="19"/>
  <c r="V12" i="19"/>
  <c r="V10" i="19"/>
  <c r="V51" i="19"/>
  <c r="AH20" i="19"/>
  <c r="AF10" i="19"/>
  <c r="AF18" i="19"/>
  <c r="AD34" i="19"/>
  <c r="AH38" i="19"/>
  <c r="AD15" i="19"/>
  <c r="AF36" i="19"/>
  <c r="AH46" i="19"/>
  <c r="AD42" i="19"/>
  <c r="AF44" i="19"/>
  <c r="AH12" i="19"/>
  <c r="AD52" i="19"/>
  <c r="AF19" i="19"/>
  <c r="AH21" i="19"/>
  <c r="AD45" i="19"/>
  <c r="AD19" i="19"/>
  <c r="AF33" i="19"/>
  <c r="AF8" i="19"/>
  <c r="AH35" i="19"/>
  <c r="AH48" i="19"/>
  <c r="AD33" i="19"/>
  <c r="AD54" i="19"/>
  <c r="E45" i="20"/>
  <c r="E51" i="20"/>
  <c r="E49" i="20"/>
  <c r="E47" i="20"/>
  <c r="E44" i="20"/>
  <c r="E46" i="20"/>
  <c r="E50" i="20"/>
  <c r="E48" i="20"/>
  <c r="AF40" i="19"/>
  <c r="AF22" i="19"/>
  <c r="AF11" i="19"/>
  <c r="AF51" i="19"/>
  <c r="AH42" i="19"/>
  <c r="AH24" i="19"/>
  <c r="AH13" i="19"/>
  <c r="AH54" i="19"/>
  <c r="AD37" i="19"/>
  <c r="AD20" i="19"/>
  <c r="AD11" i="19"/>
  <c r="AF41" i="19"/>
  <c r="AF26" i="19"/>
  <c r="AF14" i="19"/>
  <c r="AF49" i="19"/>
  <c r="AH43" i="19"/>
  <c r="AH34" i="19"/>
  <c r="AH16" i="19"/>
  <c r="AH55" i="19"/>
  <c r="AD41" i="19"/>
  <c r="AD23" i="19"/>
  <c r="AD12" i="19"/>
  <c r="AD49" i="19"/>
  <c r="V14" i="19"/>
  <c r="V52" i="19"/>
  <c r="V16" i="19"/>
  <c r="V11" i="19"/>
  <c r="V8" i="19"/>
  <c r="AF45" i="19"/>
  <c r="AF37" i="19"/>
  <c r="AF23" i="19"/>
  <c r="AF15" i="19"/>
  <c r="AF52" i="19"/>
  <c r="AH39" i="19"/>
  <c r="AH25" i="19"/>
  <c r="AH17" i="19"/>
  <c r="AH9" i="19"/>
  <c r="AD46" i="19"/>
  <c r="AD38" i="19"/>
  <c r="AD24" i="19"/>
  <c r="AD16" i="19"/>
  <c r="AD48" i="19"/>
  <c r="AY10" i="19"/>
  <c r="AQ41" i="19"/>
  <c r="BC15" i="19"/>
  <c r="AQ37" i="19"/>
  <c r="AY26" i="19"/>
  <c r="AQ48" i="19"/>
  <c r="AY44" i="19"/>
  <c r="AY52" i="19"/>
  <c r="AY40" i="19"/>
  <c r="AY18" i="19"/>
  <c r="AU46" i="19"/>
  <c r="AQ19" i="19"/>
  <c r="V13" i="19"/>
  <c r="V9" i="19"/>
  <c r="AY22" i="19"/>
  <c r="AW37" i="19"/>
  <c r="AO38" i="19"/>
  <c r="AY36" i="19"/>
  <c r="AY14" i="19"/>
  <c r="AU24" i="19"/>
  <c r="AQ15" i="19"/>
  <c r="AY8" i="19"/>
  <c r="AY39" i="19"/>
  <c r="AY25" i="19"/>
  <c r="AY21" i="19"/>
  <c r="AY13" i="19"/>
  <c r="AY51" i="19"/>
  <c r="AO16" i="19"/>
  <c r="AY46" i="19"/>
  <c r="AY42" i="19"/>
  <c r="AY38" i="19"/>
  <c r="AY34" i="19"/>
  <c r="AY24" i="19"/>
  <c r="AY20" i="19"/>
  <c r="AY16" i="19"/>
  <c r="AY12" i="19"/>
  <c r="AY55" i="19"/>
  <c r="AY49" i="19"/>
  <c r="AU55" i="19"/>
  <c r="AQ33" i="19"/>
  <c r="AQ11" i="19"/>
  <c r="AW15" i="19"/>
  <c r="AY43" i="19"/>
  <c r="AY35" i="19"/>
  <c r="AY17" i="19"/>
  <c r="AY9" i="19"/>
  <c r="BC37" i="19"/>
  <c r="AY45" i="19"/>
  <c r="AY41" i="19"/>
  <c r="AY37" i="19"/>
  <c r="AY33" i="19"/>
  <c r="AY23" i="19"/>
  <c r="AY19" i="19"/>
  <c r="AY15" i="19"/>
  <c r="AY11" i="19"/>
  <c r="AY54" i="19"/>
  <c r="AQ45" i="19"/>
  <c r="AQ23" i="19"/>
  <c r="AQ54" i="19"/>
  <c r="AO13" i="19"/>
  <c r="AU21" i="19"/>
  <c r="AQ44" i="19"/>
  <c r="AQ36" i="19"/>
  <c r="AQ22" i="19"/>
  <c r="AQ14" i="19"/>
  <c r="AQ52" i="19"/>
  <c r="R6" i="19"/>
  <c r="E34" i="19" s="1"/>
  <c r="AO43" i="19"/>
  <c r="AO21" i="19"/>
  <c r="AO51" i="19"/>
  <c r="AF46" i="19"/>
  <c r="AF42" i="19"/>
  <c r="AF38" i="19"/>
  <c r="AF34" i="19"/>
  <c r="AF24" i="19"/>
  <c r="AF20" i="19"/>
  <c r="AF16" i="19"/>
  <c r="AF12" i="19"/>
  <c r="AF48" i="19"/>
  <c r="AF54" i="19"/>
  <c r="AU35" i="19"/>
  <c r="AU13" i="19"/>
  <c r="AQ46" i="19"/>
  <c r="AQ42" i="19"/>
  <c r="AQ38" i="19"/>
  <c r="AQ34" i="19"/>
  <c r="AQ24" i="19"/>
  <c r="AQ20" i="19"/>
  <c r="AQ16" i="19"/>
  <c r="AQ12" i="19"/>
  <c r="AQ55" i="19"/>
  <c r="AQ49" i="19"/>
  <c r="AH44" i="19"/>
  <c r="AH40" i="19"/>
  <c r="AH36" i="19"/>
  <c r="AH26" i="19"/>
  <c r="AH22" i="19"/>
  <c r="AH18" i="19"/>
  <c r="AH14" i="19"/>
  <c r="AH10" i="19"/>
  <c r="AH8" i="19"/>
  <c r="AH51" i="19"/>
  <c r="AD43" i="19"/>
  <c r="AD39" i="19"/>
  <c r="AD35" i="19"/>
  <c r="AD25" i="19"/>
  <c r="AD21" i="19"/>
  <c r="AD17" i="19"/>
  <c r="AD13" i="19"/>
  <c r="AD9" i="19"/>
  <c r="AD55" i="19"/>
  <c r="AO35" i="19"/>
  <c r="AU43" i="19"/>
  <c r="AU51" i="19"/>
  <c r="AQ40" i="19"/>
  <c r="AQ26" i="19"/>
  <c r="AQ18" i="19"/>
  <c r="AQ10" i="19"/>
  <c r="AO46" i="19"/>
  <c r="AO24" i="19"/>
  <c r="AO55" i="19"/>
  <c r="AF43" i="19"/>
  <c r="AF39" i="19"/>
  <c r="AF35" i="19"/>
  <c r="AF25" i="19"/>
  <c r="AF21" i="19"/>
  <c r="AF17" i="19"/>
  <c r="AF13" i="19"/>
  <c r="AF9" i="19"/>
  <c r="AU38" i="19"/>
  <c r="AU16" i="19"/>
  <c r="AQ8" i="19"/>
  <c r="AQ43" i="19"/>
  <c r="AQ39" i="19"/>
  <c r="AQ35" i="19"/>
  <c r="AQ25" i="19"/>
  <c r="AQ21" i="19"/>
  <c r="AQ17" i="19"/>
  <c r="AQ13" i="19"/>
  <c r="AQ9" i="19"/>
  <c r="AH45" i="19"/>
  <c r="AH41" i="19"/>
  <c r="AH37" i="19"/>
  <c r="AH33" i="19"/>
  <c r="AH23" i="19"/>
  <c r="AH19" i="19"/>
  <c r="AH15" i="19"/>
  <c r="AH11" i="19"/>
  <c r="AH52" i="19"/>
  <c r="AD44" i="19"/>
  <c r="AD40" i="19"/>
  <c r="AD36" i="19"/>
  <c r="AD26" i="19"/>
  <c r="AD22" i="19"/>
  <c r="AD18" i="19"/>
  <c r="AD14" i="19"/>
  <c r="AD10" i="19"/>
  <c r="AD8" i="19"/>
  <c r="AW11" i="19"/>
  <c r="BC11" i="19"/>
  <c r="AW45" i="19"/>
  <c r="AW23" i="19"/>
  <c r="AW54" i="19"/>
  <c r="AO42" i="19"/>
  <c r="AO34" i="19"/>
  <c r="AO20" i="19"/>
  <c r="AO12" i="19"/>
  <c r="AO49" i="19"/>
  <c r="BC45" i="19"/>
  <c r="BC23" i="19"/>
  <c r="BC54" i="19"/>
  <c r="AU42" i="19"/>
  <c r="AU34" i="19"/>
  <c r="AU20" i="19"/>
  <c r="AU12" i="19"/>
  <c r="AU49" i="19"/>
  <c r="AW33" i="19"/>
  <c r="BC33" i="19"/>
  <c r="AW41" i="19"/>
  <c r="AW19" i="19"/>
  <c r="AW48" i="19"/>
  <c r="AO8" i="19"/>
  <c r="AO39" i="19"/>
  <c r="AO25" i="19"/>
  <c r="AO17" i="19"/>
  <c r="AO9" i="19"/>
  <c r="BC41" i="19"/>
  <c r="BC19" i="19"/>
  <c r="BC48" i="19"/>
  <c r="AU8" i="19"/>
  <c r="AU39" i="19"/>
  <c r="AU25" i="19"/>
  <c r="AU17" i="19"/>
  <c r="AU9" i="19"/>
  <c r="AW40" i="19"/>
  <c r="AW26" i="19"/>
  <c r="AW18" i="19"/>
  <c r="AW10" i="19"/>
  <c r="BC40" i="19"/>
  <c r="BC26" i="19"/>
  <c r="BC18" i="19"/>
  <c r="BC10" i="19"/>
  <c r="AW8" i="19"/>
  <c r="AW43" i="19"/>
  <c r="AW39" i="19"/>
  <c r="AW35" i="19"/>
  <c r="AW25" i="19"/>
  <c r="AW21" i="19"/>
  <c r="AW17" i="19"/>
  <c r="AW13" i="19"/>
  <c r="AW9" i="19"/>
  <c r="AW51" i="19"/>
  <c r="AO45" i="19"/>
  <c r="AO41" i="19"/>
  <c r="AO37" i="19"/>
  <c r="AO33" i="19"/>
  <c r="AO23" i="19"/>
  <c r="AO19" i="19"/>
  <c r="AO15" i="19"/>
  <c r="AO11" i="19"/>
  <c r="AO54" i="19"/>
  <c r="AO48" i="19"/>
  <c r="BC8" i="19"/>
  <c r="BC43" i="19"/>
  <c r="BC39" i="19"/>
  <c r="BC35" i="19"/>
  <c r="BC25" i="19"/>
  <c r="BC21" i="19"/>
  <c r="BC17" i="19"/>
  <c r="BC13" i="19"/>
  <c r="BC9" i="19"/>
  <c r="BC51" i="19"/>
  <c r="AU45" i="19"/>
  <c r="AU41" i="19"/>
  <c r="AU37" i="19"/>
  <c r="AU33" i="19"/>
  <c r="AU23" i="19"/>
  <c r="AU19" i="19"/>
  <c r="AU15" i="19"/>
  <c r="AU11" i="19"/>
  <c r="AU54" i="19"/>
  <c r="AU48" i="19"/>
  <c r="AW44" i="19"/>
  <c r="AW36" i="19"/>
  <c r="AW22" i="19"/>
  <c r="AW14" i="19"/>
  <c r="AW52" i="19"/>
  <c r="BC44" i="19"/>
  <c r="BC36" i="19"/>
  <c r="BC22" i="19"/>
  <c r="BC14" i="19"/>
  <c r="BC52" i="19"/>
  <c r="AW46" i="19"/>
  <c r="AW42" i="19"/>
  <c r="AW38" i="19"/>
  <c r="AW34" i="19"/>
  <c r="AW24" i="19"/>
  <c r="AW20" i="19"/>
  <c r="AW16" i="19"/>
  <c r="AW12" i="19"/>
  <c r="AW55" i="19"/>
  <c r="AO44" i="19"/>
  <c r="AO40" i="19"/>
  <c r="AO36" i="19"/>
  <c r="AO26" i="19"/>
  <c r="AO22" i="19"/>
  <c r="AO18" i="19"/>
  <c r="AO14" i="19"/>
  <c r="AO10" i="19"/>
  <c r="BC46" i="19"/>
  <c r="BC42" i="19"/>
  <c r="BC38" i="19"/>
  <c r="BC34" i="19"/>
  <c r="BC24" i="19"/>
  <c r="BC20" i="19"/>
  <c r="BC16" i="19"/>
  <c r="BC12" i="19"/>
  <c r="BC55" i="19"/>
  <c r="AU44" i="19"/>
  <c r="AU40" i="19"/>
  <c r="AU36" i="19"/>
  <c r="AU26" i="19"/>
  <c r="AU22" i="19"/>
  <c r="AU18" i="19"/>
  <c r="AU14" i="19"/>
  <c r="AU10" i="19"/>
  <c r="E49" i="37"/>
  <c r="E53" i="48" s="1"/>
  <c r="D53" i="48"/>
  <c r="E28" i="37"/>
  <c r="E30" i="48" s="1"/>
  <c r="D30" i="48"/>
  <c r="E26" i="37"/>
  <c r="E28" i="48" s="1"/>
  <c r="D28" i="48"/>
  <c r="E46" i="37"/>
  <c r="E50" i="48" s="1"/>
  <c r="D50" i="48"/>
  <c r="E27" i="37"/>
  <c r="E29" i="48" s="1"/>
  <c r="D29" i="48"/>
  <c r="E26" i="36"/>
  <c r="E32" i="48" s="1"/>
  <c r="D32" i="48"/>
  <c r="E25" i="36"/>
  <c r="E31" i="48" s="1"/>
  <c r="D31" i="48"/>
  <c r="BB49" i="19"/>
  <c r="BB51" i="19"/>
  <c r="BB52" i="19"/>
  <c r="BB54" i="19"/>
  <c r="BB55" i="19"/>
  <c r="BB9" i="19"/>
  <c r="BB10" i="19"/>
  <c r="BB11" i="19"/>
  <c r="BB12" i="19"/>
  <c r="BB13" i="19"/>
  <c r="BB14" i="19"/>
  <c r="BB15" i="19"/>
  <c r="BB16" i="19"/>
  <c r="BB17" i="19"/>
  <c r="BB18" i="19"/>
  <c r="BB19" i="19"/>
  <c r="BB20" i="19"/>
  <c r="BB21" i="19"/>
  <c r="BB22" i="19"/>
  <c r="BB23" i="19"/>
  <c r="BB24" i="19"/>
  <c r="BB25" i="19"/>
  <c r="BB26" i="19"/>
  <c r="BB33" i="19"/>
  <c r="BB34" i="19"/>
  <c r="BB35" i="19"/>
  <c r="BB36" i="19"/>
  <c r="BB37" i="19"/>
  <c r="BB38" i="19"/>
  <c r="BB39" i="19"/>
  <c r="BB40" i="19"/>
  <c r="BB48" i="19"/>
  <c r="BB8" i="19"/>
  <c r="BB41" i="19"/>
  <c r="BB42" i="19"/>
  <c r="BB43" i="19"/>
  <c r="BB44" i="19"/>
  <c r="BB45" i="19"/>
  <c r="BB46" i="19"/>
  <c r="AT49" i="19"/>
  <c r="AT51" i="19"/>
  <c r="AT52" i="19"/>
  <c r="AT54" i="19"/>
  <c r="AT55" i="19"/>
  <c r="AT9" i="19"/>
  <c r="AT10" i="19"/>
  <c r="AT11" i="19"/>
  <c r="AT12" i="19"/>
  <c r="AT13" i="19"/>
  <c r="AT14" i="19"/>
  <c r="AT15" i="19"/>
  <c r="AT16" i="19"/>
  <c r="AT17" i="19"/>
  <c r="AT18" i="19"/>
  <c r="AT19" i="19"/>
  <c r="AT20" i="19"/>
  <c r="AT21" i="19"/>
  <c r="AT22" i="19"/>
  <c r="AT23" i="19"/>
  <c r="AT24" i="19"/>
  <c r="AT25" i="19"/>
  <c r="AT26" i="19"/>
  <c r="AT33" i="19"/>
  <c r="AT34" i="19"/>
  <c r="AT35" i="19"/>
  <c r="AT36" i="19"/>
  <c r="AT37" i="19"/>
  <c r="AT38" i="19"/>
  <c r="AT39" i="19"/>
  <c r="AT40" i="19"/>
  <c r="AT48" i="19"/>
  <c r="AT8" i="19"/>
  <c r="AT41" i="19"/>
  <c r="AT42" i="19"/>
  <c r="AT43" i="19"/>
  <c r="AT44" i="19"/>
  <c r="AT45" i="19"/>
  <c r="AT46" i="19"/>
  <c r="AI52" i="19"/>
  <c r="AI48" i="19"/>
  <c r="AI9" i="19"/>
  <c r="AI10" i="19"/>
  <c r="AI11" i="19"/>
  <c r="AI12" i="19"/>
  <c r="AI13" i="19"/>
  <c r="AI14" i="19"/>
  <c r="AI15" i="19"/>
  <c r="AI16" i="19"/>
  <c r="AI17" i="19"/>
  <c r="AI18" i="19"/>
  <c r="AI19" i="19"/>
  <c r="AI20" i="19"/>
  <c r="AI21" i="19"/>
  <c r="AI22" i="19"/>
  <c r="AI23" i="19"/>
  <c r="AI24" i="19"/>
  <c r="AI25" i="19"/>
  <c r="AI26" i="19"/>
  <c r="AI33" i="19"/>
  <c r="AI34" i="19"/>
  <c r="AI35" i="19"/>
  <c r="AI36" i="19"/>
  <c r="AI37" i="19"/>
  <c r="AI38" i="19"/>
  <c r="AI39" i="19"/>
  <c r="AI40" i="19"/>
  <c r="AI41" i="19"/>
  <c r="AI42" i="19"/>
  <c r="AI43" i="19"/>
  <c r="AI44" i="19"/>
  <c r="AI45" i="19"/>
  <c r="AI46" i="19"/>
  <c r="AI51" i="19"/>
  <c r="AI49" i="19"/>
  <c r="AI54" i="19"/>
  <c r="AI55" i="19"/>
  <c r="AI8" i="19"/>
  <c r="AA52" i="19"/>
  <c r="AA48" i="19"/>
  <c r="AA9" i="19"/>
  <c r="AA10" i="19"/>
  <c r="AA11" i="19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51" i="19"/>
  <c r="AA49" i="19"/>
  <c r="AA54" i="19"/>
  <c r="AA55" i="19"/>
  <c r="AA8" i="19"/>
  <c r="AZ49" i="19"/>
  <c r="AZ51" i="19"/>
  <c r="AZ52" i="19"/>
  <c r="AZ54" i="19"/>
  <c r="AZ55" i="19"/>
  <c r="AZ9" i="19"/>
  <c r="AZ10" i="19"/>
  <c r="AZ11" i="19"/>
  <c r="AZ12" i="19"/>
  <c r="AZ13" i="19"/>
  <c r="AZ14" i="19"/>
  <c r="AZ15" i="19"/>
  <c r="AZ16" i="19"/>
  <c r="AZ17" i="19"/>
  <c r="AZ18" i="19"/>
  <c r="AZ19" i="19"/>
  <c r="AZ20" i="19"/>
  <c r="AZ21" i="19"/>
  <c r="AZ22" i="19"/>
  <c r="AZ23" i="19"/>
  <c r="AZ24" i="19"/>
  <c r="AZ25" i="19"/>
  <c r="AZ26" i="19"/>
  <c r="AZ33" i="19"/>
  <c r="AZ34" i="19"/>
  <c r="AZ35" i="19"/>
  <c r="AZ36" i="19"/>
  <c r="AZ37" i="19"/>
  <c r="AZ38" i="19"/>
  <c r="AZ39" i="19"/>
  <c r="AZ40" i="19"/>
  <c r="AZ48" i="19"/>
  <c r="AZ8" i="19"/>
  <c r="AZ41" i="19"/>
  <c r="AZ42" i="19"/>
  <c r="AZ43" i="19"/>
  <c r="AZ44" i="19"/>
  <c r="AZ45" i="19"/>
  <c r="AZ46" i="19"/>
  <c r="AR49" i="19"/>
  <c r="AR51" i="19"/>
  <c r="AR52" i="19"/>
  <c r="AR54" i="19"/>
  <c r="AR55" i="19"/>
  <c r="AR9" i="19"/>
  <c r="AR10" i="19"/>
  <c r="AR11" i="19"/>
  <c r="AR12" i="19"/>
  <c r="AR13" i="19"/>
  <c r="AR14" i="19"/>
  <c r="AR15" i="19"/>
  <c r="AR16" i="19"/>
  <c r="AR17" i="19"/>
  <c r="AR18" i="19"/>
  <c r="AR19" i="19"/>
  <c r="AR20" i="19"/>
  <c r="AR21" i="19"/>
  <c r="AR22" i="19"/>
  <c r="AR23" i="19"/>
  <c r="AR24" i="19"/>
  <c r="AR25" i="19"/>
  <c r="AR26" i="19"/>
  <c r="AR33" i="19"/>
  <c r="AR34" i="19"/>
  <c r="AR35" i="19"/>
  <c r="AR36" i="19"/>
  <c r="AR37" i="19"/>
  <c r="AR38" i="19"/>
  <c r="AR39" i="19"/>
  <c r="AR40" i="19"/>
  <c r="AR41" i="19"/>
  <c r="AR48" i="19"/>
  <c r="AR8" i="19"/>
  <c r="AR42" i="19"/>
  <c r="AR43" i="19"/>
  <c r="AR44" i="19"/>
  <c r="AR45" i="19"/>
  <c r="AR46" i="19"/>
  <c r="AG52" i="19"/>
  <c r="AG48" i="19"/>
  <c r="AG9" i="19"/>
  <c r="AG10" i="19"/>
  <c r="AG11" i="19"/>
  <c r="AG12" i="19"/>
  <c r="AG13" i="19"/>
  <c r="AG14" i="19"/>
  <c r="AG15" i="19"/>
  <c r="AG16" i="19"/>
  <c r="AG17" i="19"/>
  <c r="AG18" i="19"/>
  <c r="AG19" i="19"/>
  <c r="AG20" i="19"/>
  <c r="AG21" i="19"/>
  <c r="AG22" i="19"/>
  <c r="AG23" i="19"/>
  <c r="AG24" i="19"/>
  <c r="AG25" i="19"/>
  <c r="AG26" i="19"/>
  <c r="AG33" i="19"/>
  <c r="AG34" i="19"/>
  <c r="AG35" i="19"/>
  <c r="AG36" i="19"/>
  <c r="AG37" i="19"/>
  <c r="AG38" i="19"/>
  <c r="AG39" i="19"/>
  <c r="AG40" i="19"/>
  <c r="AG41" i="19"/>
  <c r="AG42" i="19"/>
  <c r="AG43" i="19"/>
  <c r="AG44" i="19"/>
  <c r="AG45" i="19"/>
  <c r="AG46" i="19"/>
  <c r="AG51" i="19"/>
  <c r="AG49" i="19"/>
  <c r="AG54" i="19"/>
  <c r="AG55" i="19"/>
  <c r="AG8" i="19"/>
  <c r="Y52" i="19"/>
  <c r="Y4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33" i="19"/>
  <c r="Y34" i="19"/>
  <c r="Y35" i="19"/>
  <c r="Y36" i="19"/>
  <c r="Y37" i="19"/>
  <c r="Y38" i="19"/>
  <c r="Y39" i="19"/>
  <c r="Y40" i="19"/>
  <c r="Y41" i="19"/>
  <c r="Y42" i="19"/>
  <c r="Y43" i="19"/>
  <c r="Y44" i="19"/>
  <c r="Y45" i="19"/>
  <c r="Y46" i="19"/>
  <c r="Y51" i="19"/>
  <c r="Y49" i="19"/>
  <c r="Y54" i="19"/>
  <c r="Y55" i="19"/>
  <c r="Y8" i="19"/>
  <c r="AX49" i="19"/>
  <c r="AX51" i="19"/>
  <c r="AX52" i="19"/>
  <c r="AX54" i="19"/>
  <c r="AX55" i="19"/>
  <c r="AX9" i="19"/>
  <c r="AX10" i="19"/>
  <c r="AX11" i="19"/>
  <c r="AX12" i="19"/>
  <c r="AX13" i="19"/>
  <c r="AX14" i="19"/>
  <c r="AX15" i="19"/>
  <c r="AX16" i="19"/>
  <c r="AX17" i="19"/>
  <c r="AX18" i="19"/>
  <c r="AX19" i="19"/>
  <c r="AX20" i="19"/>
  <c r="AX21" i="19"/>
  <c r="AX22" i="19"/>
  <c r="AX23" i="19"/>
  <c r="AX24" i="19"/>
  <c r="AX25" i="19"/>
  <c r="AX26" i="19"/>
  <c r="AX33" i="19"/>
  <c r="AX34" i="19"/>
  <c r="AX35" i="19"/>
  <c r="AX36" i="19"/>
  <c r="AX37" i="19"/>
  <c r="AX38" i="19"/>
  <c r="AX39" i="19"/>
  <c r="AX40" i="19"/>
  <c r="AX48" i="19"/>
  <c r="AX8" i="19"/>
  <c r="AX41" i="19"/>
  <c r="AX42" i="19"/>
  <c r="AX43" i="19"/>
  <c r="AX44" i="19"/>
  <c r="AX45" i="19"/>
  <c r="AX46" i="19"/>
  <c r="AP49" i="19"/>
  <c r="AP51" i="19"/>
  <c r="AP52" i="19"/>
  <c r="AP54" i="19"/>
  <c r="AP55" i="19"/>
  <c r="AP9" i="19"/>
  <c r="AP10" i="19"/>
  <c r="AP11" i="19"/>
  <c r="AP12" i="19"/>
  <c r="AP13" i="19"/>
  <c r="AP14" i="19"/>
  <c r="AP15" i="19"/>
  <c r="AP16" i="19"/>
  <c r="AP17" i="19"/>
  <c r="AP18" i="19"/>
  <c r="AP19" i="19"/>
  <c r="AP20" i="19"/>
  <c r="AP21" i="19"/>
  <c r="AP22" i="19"/>
  <c r="AP23" i="19"/>
  <c r="AP24" i="19"/>
  <c r="AP25" i="19"/>
  <c r="AP26" i="19"/>
  <c r="AP33" i="19"/>
  <c r="AP34" i="19"/>
  <c r="AP35" i="19"/>
  <c r="AP36" i="19"/>
  <c r="AP37" i="19"/>
  <c r="AP38" i="19"/>
  <c r="AP39" i="19"/>
  <c r="AP40" i="19"/>
  <c r="AP41" i="19"/>
  <c r="AP48" i="19"/>
  <c r="AP8" i="19"/>
  <c r="AP42" i="19"/>
  <c r="AP43" i="19"/>
  <c r="AP44" i="19"/>
  <c r="AP45" i="19"/>
  <c r="AP46" i="19"/>
  <c r="AE52" i="19"/>
  <c r="AE48" i="19"/>
  <c r="AE9" i="19"/>
  <c r="AE10" i="19"/>
  <c r="AE11" i="19"/>
  <c r="AE12" i="19"/>
  <c r="AE13" i="19"/>
  <c r="AE14" i="19"/>
  <c r="AE15" i="19"/>
  <c r="AE16" i="19"/>
  <c r="AE17" i="19"/>
  <c r="AE18" i="19"/>
  <c r="AE19" i="19"/>
  <c r="AE20" i="19"/>
  <c r="AE21" i="19"/>
  <c r="AE22" i="19"/>
  <c r="AE23" i="19"/>
  <c r="AE24" i="19"/>
  <c r="AE25" i="19"/>
  <c r="AE26" i="19"/>
  <c r="AE33" i="19"/>
  <c r="AE34" i="19"/>
  <c r="AE35" i="19"/>
  <c r="AE36" i="19"/>
  <c r="AE37" i="19"/>
  <c r="AE38" i="19"/>
  <c r="AE39" i="19"/>
  <c r="AE40" i="19"/>
  <c r="AE41" i="19"/>
  <c r="AE42" i="19"/>
  <c r="AE43" i="19"/>
  <c r="AE44" i="19"/>
  <c r="AE45" i="19"/>
  <c r="AE46" i="19"/>
  <c r="AE51" i="19"/>
  <c r="AE49" i="19"/>
  <c r="AE54" i="19"/>
  <c r="AE55" i="19"/>
  <c r="AE8" i="19"/>
  <c r="W52" i="19"/>
  <c r="W48" i="19"/>
  <c r="W9" i="19"/>
  <c r="W10" i="19"/>
  <c r="W11" i="19"/>
  <c r="W12" i="19"/>
  <c r="W13" i="19"/>
  <c r="W14" i="19"/>
  <c r="W15" i="19"/>
  <c r="W16" i="19"/>
  <c r="W17" i="19"/>
  <c r="W18" i="19"/>
  <c r="W19" i="19"/>
  <c r="W20" i="19"/>
  <c r="W21" i="19"/>
  <c r="W22" i="19"/>
  <c r="W23" i="19"/>
  <c r="W24" i="19"/>
  <c r="W25" i="19"/>
  <c r="W26" i="19"/>
  <c r="W33" i="19"/>
  <c r="W34" i="19"/>
  <c r="W35" i="19"/>
  <c r="W36" i="19"/>
  <c r="W37" i="19"/>
  <c r="W38" i="19"/>
  <c r="W39" i="19"/>
  <c r="W40" i="19"/>
  <c r="W41" i="19"/>
  <c r="W42" i="19"/>
  <c r="W43" i="19"/>
  <c r="W44" i="19"/>
  <c r="W45" i="19"/>
  <c r="W46" i="19"/>
  <c r="W51" i="19"/>
  <c r="W49" i="19"/>
  <c r="W54" i="19"/>
  <c r="W55" i="19"/>
  <c r="W8" i="19"/>
  <c r="S52" i="19"/>
  <c r="S48" i="19"/>
  <c r="S9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5" i="19"/>
  <c r="S46" i="19"/>
  <c r="S49" i="19"/>
  <c r="S51" i="19"/>
  <c r="S54" i="19"/>
  <c r="S55" i="19"/>
  <c r="S8" i="19"/>
  <c r="BD49" i="19"/>
  <c r="BD51" i="19"/>
  <c r="BD52" i="19"/>
  <c r="BD54" i="19"/>
  <c r="BD55" i="19"/>
  <c r="BD9" i="19"/>
  <c r="BD10" i="19"/>
  <c r="BD11" i="19"/>
  <c r="BD12" i="19"/>
  <c r="BD13" i="19"/>
  <c r="BD14" i="19"/>
  <c r="BD15" i="19"/>
  <c r="BD16" i="19"/>
  <c r="BD17" i="19"/>
  <c r="BD18" i="19"/>
  <c r="BD19" i="19"/>
  <c r="BD20" i="19"/>
  <c r="BD21" i="19"/>
  <c r="BD22" i="19"/>
  <c r="BD23" i="19"/>
  <c r="BD24" i="19"/>
  <c r="BD25" i="19"/>
  <c r="BD26" i="19"/>
  <c r="BD33" i="19"/>
  <c r="BD34" i="19"/>
  <c r="BD35" i="19"/>
  <c r="BD36" i="19"/>
  <c r="BD37" i="19"/>
  <c r="BD38" i="19"/>
  <c r="BD39" i="19"/>
  <c r="BD40" i="19"/>
  <c r="BD48" i="19"/>
  <c r="BD8" i="19"/>
  <c r="BD41" i="19"/>
  <c r="BD42" i="19"/>
  <c r="BD43" i="19"/>
  <c r="BD44" i="19"/>
  <c r="BD45" i="19"/>
  <c r="BD46" i="19"/>
  <c r="AV49" i="19"/>
  <c r="AV51" i="19"/>
  <c r="AV52" i="19"/>
  <c r="AV54" i="19"/>
  <c r="AV55" i="19"/>
  <c r="AV9" i="19"/>
  <c r="AV10" i="19"/>
  <c r="AV11" i="19"/>
  <c r="AV12" i="19"/>
  <c r="AV13" i="19"/>
  <c r="AV14" i="19"/>
  <c r="AV15" i="19"/>
  <c r="AV16" i="19"/>
  <c r="AV17" i="19"/>
  <c r="AV18" i="19"/>
  <c r="AV19" i="19"/>
  <c r="AV20" i="19"/>
  <c r="AV21" i="19"/>
  <c r="AV22" i="19"/>
  <c r="AV23" i="19"/>
  <c r="AV24" i="19"/>
  <c r="AV25" i="19"/>
  <c r="AV26" i="19"/>
  <c r="AV33" i="19"/>
  <c r="AV34" i="19"/>
  <c r="AV35" i="19"/>
  <c r="AV36" i="19"/>
  <c r="AV37" i="19"/>
  <c r="AV38" i="19"/>
  <c r="AV39" i="19"/>
  <c r="AV40" i="19"/>
  <c r="AV48" i="19"/>
  <c r="AV41" i="19"/>
  <c r="AV8" i="19"/>
  <c r="AV42" i="19"/>
  <c r="AV43" i="19"/>
  <c r="AV44" i="19"/>
  <c r="AV45" i="19"/>
  <c r="AV46" i="19"/>
  <c r="AN49" i="19"/>
  <c r="AN51" i="19"/>
  <c r="AN52" i="19"/>
  <c r="AN54" i="19"/>
  <c r="AN55" i="19"/>
  <c r="AN9" i="19"/>
  <c r="AN10" i="19"/>
  <c r="AN11" i="19"/>
  <c r="AN12" i="19"/>
  <c r="AN13" i="19"/>
  <c r="AN14" i="19"/>
  <c r="AN15" i="19"/>
  <c r="AN16" i="19"/>
  <c r="AN17" i="19"/>
  <c r="AN18" i="19"/>
  <c r="AN19" i="19"/>
  <c r="AN20" i="19"/>
  <c r="AN21" i="19"/>
  <c r="AN22" i="19"/>
  <c r="AN23" i="19"/>
  <c r="AN24" i="19"/>
  <c r="AN25" i="19"/>
  <c r="AN26" i="19"/>
  <c r="AN33" i="19"/>
  <c r="AN34" i="19"/>
  <c r="AN35" i="19"/>
  <c r="AN36" i="19"/>
  <c r="AN37" i="19"/>
  <c r="AN38" i="19"/>
  <c r="AN39" i="19"/>
  <c r="AN40" i="19"/>
  <c r="AN41" i="19"/>
  <c r="AN48" i="19"/>
  <c r="AN8" i="19"/>
  <c r="AN42" i="19"/>
  <c r="AN43" i="19"/>
  <c r="AN44" i="19"/>
  <c r="AN45" i="19"/>
  <c r="AN46" i="19"/>
  <c r="AC52" i="19"/>
  <c r="AC48" i="19"/>
  <c r="AC9" i="19"/>
  <c r="AC10" i="19"/>
  <c r="AC11" i="19"/>
  <c r="AC12" i="19"/>
  <c r="AC13" i="19"/>
  <c r="AC14" i="19"/>
  <c r="AC15" i="19"/>
  <c r="AC16" i="19"/>
  <c r="AC17" i="19"/>
  <c r="AC18" i="19"/>
  <c r="AC19" i="19"/>
  <c r="AC20" i="19"/>
  <c r="AC21" i="19"/>
  <c r="AC22" i="19"/>
  <c r="AC23" i="19"/>
  <c r="AC24" i="19"/>
  <c r="AC25" i="19"/>
  <c r="AC26" i="19"/>
  <c r="AC33" i="19"/>
  <c r="AC34" i="19"/>
  <c r="AC35" i="19"/>
  <c r="AC36" i="19"/>
  <c r="AC37" i="19"/>
  <c r="AC38" i="19"/>
  <c r="AC39" i="19"/>
  <c r="AC40" i="19"/>
  <c r="AC41" i="19"/>
  <c r="AC42" i="19"/>
  <c r="AC43" i="19"/>
  <c r="AC44" i="19"/>
  <c r="AC45" i="19"/>
  <c r="AC46" i="19"/>
  <c r="AC51" i="19"/>
  <c r="AC49" i="19"/>
  <c r="AC54" i="19"/>
  <c r="AC55" i="19"/>
  <c r="AC8" i="19"/>
  <c r="U52" i="19"/>
  <c r="U48" i="19"/>
  <c r="U9" i="19"/>
  <c r="U10" i="19"/>
  <c r="U11" i="19"/>
  <c r="U12" i="19"/>
  <c r="U13" i="19"/>
  <c r="U14" i="19"/>
  <c r="U15" i="19"/>
  <c r="U16" i="19"/>
  <c r="U17" i="19"/>
  <c r="U18" i="19"/>
  <c r="U19" i="19"/>
  <c r="U20" i="19"/>
  <c r="U21" i="19"/>
  <c r="U22" i="19"/>
  <c r="U23" i="19"/>
  <c r="U24" i="19"/>
  <c r="U25" i="19"/>
  <c r="U26" i="19"/>
  <c r="U33" i="19"/>
  <c r="U34" i="19"/>
  <c r="U35" i="19"/>
  <c r="U36" i="19"/>
  <c r="U37" i="19"/>
  <c r="U38" i="19"/>
  <c r="U39" i="19"/>
  <c r="U40" i="19"/>
  <c r="U41" i="19"/>
  <c r="U42" i="19"/>
  <c r="U43" i="19"/>
  <c r="U44" i="19"/>
  <c r="U45" i="19"/>
  <c r="U46" i="19"/>
  <c r="U51" i="19"/>
  <c r="U49" i="19"/>
  <c r="U54" i="19"/>
  <c r="U55" i="19"/>
  <c r="U8" i="19"/>
  <c r="AM48" i="19"/>
  <c r="AM49" i="19"/>
  <c r="AM51" i="19"/>
  <c r="AM52" i="19"/>
  <c r="AM54" i="19"/>
  <c r="AM55" i="19"/>
  <c r="AM9" i="19"/>
  <c r="AM10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3" i="19"/>
  <c r="AM24" i="19"/>
  <c r="AM25" i="19"/>
  <c r="AM26" i="19"/>
  <c r="AM33" i="19"/>
  <c r="AM34" i="19"/>
  <c r="AM35" i="19"/>
  <c r="AM36" i="19"/>
  <c r="AM37" i="19"/>
  <c r="AM38" i="19"/>
  <c r="AM39" i="19"/>
  <c r="AM40" i="19"/>
  <c r="AM41" i="19"/>
  <c r="AM42" i="19"/>
  <c r="AM43" i="19"/>
  <c r="AM44" i="19"/>
  <c r="AM45" i="19"/>
  <c r="AM46" i="19"/>
  <c r="AM8" i="19"/>
  <c r="AL6" i="19"/>
  <c r="T47" i="43"/>
  <c r="T45" i="43"/>
  <c r="T43" i="43"/>
  <c r="T40" i="43"/>
  <c r="T38" i="43"/>
  <c r="T48" i="43"/>
  <c r="T46" i="43"/>
  <c r="T44" i="43"/>
  <c r="T41" i="43"/>
  <c r="T39" i="43"/>
  <c r="T37" i="43"/>
  <c r="T36" i="43"/>
  <c r="T34" i="43"/>
  <c r="T32" i="43"/>
  <c r="T30" i="43"/>
  <c r="T28" i="43"/>
  <c r="T26" i="43"/>
  <c r="T24" i="43"/>
  <c r="T22" i="43"/>
  <c r="T20" i="43"/>
  <c r="T18" i="43"/>
  <c r="T16" i="43"/>
  <c r="T14" i="43"/>
  <c r="T12" i="43"/>
  <c r="T35" i="43"/>
  <c r="T33" i="43"/>
  <c r="T31" i="43"/>
  <c r="T29" i="43"/>
  <c r="T27" i="43"/>
  <c r="T25" i="43"/>
  <c r="T23" i="43"/>
  <c r="T21" i="43"/>
  <c r="T19" i="43"/>
  <c r="T17" i="43"/>
  <c r="T15" i="43"/>
  <c r="T13" i="43"/>
  <c r="T11" i="43"/>
  <c r="T10" i="43"/>
  <c r="T8" i="43"/>
  <c r="T9" i="43"/>
  <c r="T7" i="43"/>
  <c r="F47" i="43"/>
  <c r="F45" i="43"/>
  <c r="F43" i="43"/>
  <c r="F40" i="43"/>
  <c r="F38" i="43"/>
  <c r="F36" i="43"/>
  <c r="F34" i="43"/>
  <c r="F32" i="43"/>
  <c r="F30" i="43"/>
  <c r="F28" i="43"/>
  <c r="F27" i="43"/>
  <c r="F25" i="43"/>
  <c r="F23" i="43"/>
  <c r="F21" i="43"/>
  <c r="F19" i="43"/>
  <c r="F17" i="43"/>
  <c r="F15" i="43"/>
  <c r="F13" i="43"/>
  <c r="F11" i="43"/>
  <c r="F9" i="43"/>
  <c r="F7" i="43"/>
  <c r="F48" i="43"/>
  <c r="F46" i="43"/>
  <c r="F44" i="43"/>
  <c r="F41" i="43"/>
  <c r="F39" i="43"/>
  <c r="F37" i="43"/>
  <c r="F35" i="43"/>
  <c r="F33" i="43"/>
  <c r="F31" i="43"/>
  <c r="F29" i="43"/>
  <c r="F26" i="43"/>
  <c r="F24" i="43"/>
  <c r="F22" i="43"/>
  <c r="F20" i="43"/>
  <c r="F18" i="43"/>
  <c r="F16" i="43"/>
  <c r="F14" i="43"/>
  <c r="F12" i="43"/>
  <c r="F10" i="43"/>
  <c r="F8" i="43"/>
  <c r="J47" i="43"/>
  <c r="J45" i="43"/>
  <c r="J43" i="43"/>
  <c r="J40" i="43"/>
  <c r="J38" i="43"/>
  <c r="J48" i="43"/>
  <c r="J46" i="43"/>
  <c r="J44" i="43"/>
  <c r="J41" i="43"/>
  <c r="J39" i="43"/>
  <c r="J36" i="43"/>
  <c r="J34" i="43"/>
  <c r="J32" i="43"/>
  <c r="J30" i="43"/>
  <c r="J28" i="43"/>
  <c r="J26" i="43"/>
  <c r="J24" i="43"/>
  <c r="J22" i="43"/>
  <c r="J20" i="43"/>
  <c r="J18" i="43"/>
  <c r="J16" i="43"/>
  <c r="J14" i="43"/>
  <c r="J12" i="43"/>
  <c r="J37" i="43"/>
  <c r="J35" i="43"/>
  <c r="J33" i="43"/>
  <c r="J31" i="43"/>
  <c r="J29" i="43"/>
  <c r="J27" i="43"/>
  <c r="J25" i="43"/>
  <c r="J23" i="43"/>
  <c r="J21" i="43"/>
  <c r="J19" i="43"/>
  <c r="J17" i="43"/>
  <c r="J15" i="43"/>
  <c r="J13" i="43"/>
  <c r="J10" i="43"/>
  <c r="J8" i="43"/>
  <c r="J11" i="43"/>
  <c r="J9" i="43"/>
  <c r="J7" i="43"/>
  <c r="N47" i="43"/>
  <c r="N45" i="43"/>
  <c r="N43" i="43"/>
  <c r="N40" i="43"/>
  <c r="N38" i="43"/>
  <c r="N48" i="43"/>
  <c r="N46" i="43"/>
  <c r="N44" i="43"/>
  <c r="N41" i="43"/>
  <c r="N39" i="43"/>
  <c r="N36" i="43"/>
  <c r="N34" i="43"/>
  <c r="N32" i="43"/>
  <c r="N30" i="43"/>
  <c r="N28" i="43"/>
  <c r="N26" i="43"/>
  <c r="N24" i="43"/>
  <c r="N22" i="43"/>
  <c r="N20" i="43"/>
  <c r="N18" i="43"/>
  <c r="N16" i="43"/>
  <c r="N14" i="43"/>
  <c r="N12" i="43"/>
  <c r="N37" i="43"/>
  <c r="N35" i="43"/>
  <c r="N33" i="43"/>
  <c r="N31" i="43"/>
  <c r="N29" i="43"/>
  <c r="N27" i="43"/>
  <c r="N25" i="43"/>
  <c r="N23" i="43"/>
  <c r="N21" i="43"/>
  <c r="N19" i="43"/>
  <c r="N17" i="43"/>
  <c r="N15" i="43"/>
  <c r="N13" i="43"/>
  <c r="N10" i="43"/>
  <c r="N8" i="43"/>
  <c r="N11" i="43"/>
  <c r="N9" i="43"/>
  <c r="N7" i="43"/>
  <c r="R47" i="43"/>
  <c r="R45" i="43"/>
  <c r="R43" i="43"/>
  <c r="R40" i="43"/>
  <c r="R38" i="43"/>
  <c r="R48" i="43"/>
  <c r="R46" i="43"/>
  <c r="R44" i="43"/>
  <c r="R41" i="43"/>
  <c r="R39" i="43"/>
  <c r="R37" i="43"/>
  <c r="R36" i="43"/>
  <c r="R34" i="43"/>
  <c r="R32" i="43"/>
  <c r="R30" i="43"/>
  <c r="R28" i="43"/>
  <c r="R26" i="43"/>
  <c r="R24" i="43"/>
  <c r="R22" i="43"/>
  <c r="R20" i="43"/>
  <c r="R18" i="43"/>
  <c r="R16" i="43"/>
  <c r="R14" i="43"/>
  <c r="R12" i="43"/>
  <c r="R35" i="43"/>
  <c r="R33" i="43"/>
  <c r="R31" i="43"/>
  <c r="R29" i="43"/>
  <c r="R27" i="43"/>
  <c r="R25" i="43"/>
  <c r="R23" i="43"/>
  <c r="R21" i="43"/>
  <c r="R19" i="43"/>
  <c r="R17" i="43"/>
  <c r="R15" i="43"/>
  <c r="R13" i="43"/>
  <c r="R11" i="43"/>
  <c r="R10" i="43"/>
  <c r="R8" i="43"/>
  <c r="R9" i="43"/>
  <c r="R7" i="43"/>
  <c r="G48" i="43"/>
  <c r="G46" i="43"/>
  <c r="G44" i="43"/>
  <c r="G41" i="43"/>
  <c r="G39" i="43"/>
  <c r="G37" i="43"/>
  <c r="G35" i="43"/>
  <c r="G33" i="43"/>
  <c r="G31" i="43"/>
  <c r="G29" i="43"/>
  <c r="G26" i="43"/>
  <c r="G24" i="43"/>
  <c r="G22" i="43"/>
  <c r="G20" i="43"/>
  <c r="G18" i="43"/>
  <c r="G16" i="43"/>
  <c r="G14" i="43"/>
  <c r="G12" i="43"/>
  <c r="G10" i="43"/>
  <c r="G8" i="43"/>
  <c r="G47" i="43"/>
  <c r="G45" i="43"/>
  <c r="G43" i="43"/>
  <c r="G40" i="43"/>
  <c r="G38" i="43"/>
  <c r="G36" i="43"/>
  <c r="G34" i="43"/>
  <c r="G32" i="43"/>
  <c r="G30" i="43"/>
  <c r="G28" i="43"/>
  <c r="G27" i="43"/>
  <c r="G25" i="43"/>
  <c r="G23" i="43"/>
  <c r="G21" i="43"/>
  <c r="G19" i="43"/>
  <c r="G17" i="43"/>
  <c r="G15" i="43"/>
  <c r="G13" i="43"/>
  <c r="G11" i="43"/>
  <c r="G9" i="43"/>
  <c r="G7" i="43"/>
  <c r="K48" i="43"/>
  <c r="K46" i="43"/>
  <c r="K44" i="43"/>
  <c r="K41" i="43"/>
  <c r="K39" i="43"/>
  <c r="K47" i="43"/>
  <c r="K45" i="43"/>
  <c r="K43" i="43"/>
  <c r="K40" i="43"/>
  <c r="K38" i="43"/>
  <c r="K37" i="43"/>
  <c r="K35" i="43"/>
  <c r="K33" i="43"/>
  <c r="K31" i="43"/>
  <c r="K29" i="43"/>
  <c r="K27" i="43"/>
  <c r="K25" i="43"/>
  <c r="K23" i="43"/>
  <c r="K21" i="43"/>
  <c r="K19" i="43"/>
  <c r="K17" i="43"/>
  <c r="K15" i="43"/>
  <c r="K13" i="43"/>
  <c r="K36" i="43"/>
  <c r="K34" i="43"/>
  <c r="K32" i="43"/>
  <c r="K30" i="43"/>
  <c r="K28" i="43"/>
  <c r="K26" i="43"/>
  <c r="K24" i="43"/>
  <c r="K22" i="43"/>
  <c r="K20" i="43"/>
  <c r="K18" i="43"/>
  <c r="K16" i="43"/>
  <c r="K14" i="43"/>
  <c r="K12" i="43"/>
  <c r="K11" i="43"/>
  <c r="K9" i="43"/>
  <c r="K7" i="43"/>
  <c r="K10" i="43"/>
  <c r="K8" i="43"/>
  <c r="O48" i="43"/>
  <c r="O46" i="43"/>
  <c r="O44" i="43"/>
  <c r="O41" i="43"/>
  <c r="O39" i="43"/>
  <c r="O47" i="43"/>
  <c r="O45" i="43"/>
  <c r="O43" i="43"/>
  <c r="O40" i="43"/>
  <c r="O38" i="43"/>
  <c r="O37" i="43"/>
  <c r="O35" i="43"/>
  <c r="O33" i="43"/>
  <c r="O31" i="43"/>
  <c r="O29" i="43"/>
  <c r="O27" i="43"/>
  <c r="O25" i="43"/>
  <c r="O23" i="43"/>
  <c r="O21" i="43"/>
  <c r="O19" i="43"/>
  <c r="O17" i="43"/>
  <c r="O15" i="43"/>
  <c r="O13" i="43"/>
  <c r="O36" i="43"/>
  <c r="O34" i="43"/>
  <c r="O32" i="43"/>
  <c r="O30" i="43"/>
  <c r="O28" i="43"/>
  <c r="O26" i="43"/>
  <c r="O24" i="43"/>
  <c r="O22" i="43"/>
  <c r="O20" i="43"/>
  <c r="O18" i="43"/>
  <c r="O16" i="43"/>
  <c r="O14" i="43"/>
  <c r="O12" i="43"/>
  <c r="O11" i="43"/>
  <c r="O9" i="43"/>
  <c r="O7" i="43"/>
  <c r="O10" i="43"/>
  <c r="O8" i="43"/>
  <c r="S48" i="43"/>
  <c r="S46" i="43"/>
  <c r="S44" i="43"/>
  <c r="S41" i="43"/>
  <c r="S39" i="43"/>
  <c r="S37" i="43"/>
  <c r="S47" i="43"/>
  <c r="S45" i="43"/>
  <c r="S43" i="43"/>
  <c r="S40" i="43"/>
  <c r="S38" i="43"/>
  <c r="S35" i="43"/>
  <c r="S33" i="43"/>
  <c r="S31" i="43"/>
  <c r="S29" i="43"/>
  <c r="S27" i="43"/>
  <c r="S25" i="43"/>
  <c r="S23" i="43"/>
  <c r="S21" i="43"/>
  <c r="S19" i="43"/>
  <c r="S17" i="43"/>
  <c r="S15" i="43"/>
  <c r="S13" i="43"/>
  <c r="S11" i="43"/>
  <c r="S36" i="43"/>
  <c r="S34" i="43"/>
  <c r="S32" i="43"/>
  <c r="S30" i="43"/>
  <c r="S28" i="43"/>
  <c r="S26" i="43"/>
  <c r="S24" i="43"/>
  <c r="S22" i="43"/>
  <c r="S20" i="43"/>
  <c r="S18" i="43"/>
  <c r="S16" i="43"/>
  <c r="S14" i="43"/>
  <c r="S12" i="43"/>
  <c r="S9" i="43"/>
  <c r="S7" i="43"/>
  <c r="S10" i="43"/>
  <c r="S8" i="43"/>
  <c r="E51" i="44"/>
  <c r="E47" i="44"/>
  <c r="E42" i="44"/>
  <c r="E38" i="44"/>
  <c r="E34" i="44"/>
  <c r="E30" i="44"/>
  <c r="E27" i="44"/>
  <c r="E23" i="44"/>
  <c r="E19" i="44"/>
  <c r="E15" i="44"/>
  <c r="E11" i="44"/>
  <c r="E7" i="44"/>
  <c r="E50" i="44"/>
  <c r="E46" i="44"/>
  <c r="E41" i="44"/>
  <c r="E37" i="44"/>
  <c r="E33" i="44"/>
  <c r="E28" i="44"/>
  <c r="E24" i="44"/>
  <c r="E20" i="44"/>
  <c r="E16" i="44"/>
  <c r="E12" i="44"/>
  <c r="E8" i="44"/>
  <c r="E49" i="44"/>
  <c r="E45" i="44"/>
  <c r="E40" i="44"/>
  <c r="E36" i="44"/>
  <c r="E32" i="44"/>
  <c r="E29" i="44"/>
  <c r="E25" i="44"/>
  <c r="E21" i="44"/>
  <c r="E17" i="44"/>
  <c r="E13" i="44"/>
  <c r="E9" i="44"/>
  <c r="E52" i="44"/>
  <c r="E48" i="44"/>
  <c r="E43" i="44"/>
  <c r="E39" i="44"/>
  <c r="E35" i="44"/>
  <c r="E31" i="44"/>
  <c r="E26" i="44"/>
  <c r="E22" i="44"/>
  <c r="E18" i="44"/>
  <c r="E14" i="44"/>
  <c r="E10" i="44"/>
  <c r="I51" i="44"/>
  <c r="I47" i="44"/>
  <c r="I42" i="44"/>
  <c r="I52" i="44"/>
  <c r="I48" i="44"/>
  <c r="I43" i="44"/>
  <c r="I39" i="44"/>
  <c r="I36" i="44"/>
  <c r="I37" i="44"/>
  <c r="I33" i="44"/>
  <c r="I29" i="44"/>
  <c r="I25" i="44"/>
  <c r="I21" i="44"/>
  <c r="I17" i="44"/>
  <c r="I13" i="44"/>
  <c r="I28" i="44"/>
  <c r="I20" i="44"/>
  <c r="I11" i="44"/>
  <c r="I26" i="44"/>
  <c r="I18" i="44"/>
  <c r="I12" i="44"/>
  <c r="I8" i="44"/>
  <c r="I7" i="44"/>
  <c r="I49" i="44"/>
  <c r="I45" i="44"/>
  <c r="I40" i="44"/>
  <c r="I50" i="44"/>
  <c r="I46" i="44"/>
  <c r="I41" i="44"/>
  <c r="I38" i="44"/>
  <c r="I34" i="44"/>
  <c r="I35" i="44"/>
  <c r="I31" i="44"/>
  <c r="I27" i="44"/>
  <c r="I23" i="44"/>
  <c r="I19" i="44"/>
  <c r="I15" i="44"/>
  <c r="I32" i="44"/>
  <c r="I24" i="44"/>
  <c r="I16" i="44"/>
  <c r="I30" i="44"/>
  <c r="I22" i="44"/>
  <c r="I14" i="44"/>
  <c r="I10" i="44"/>
  <c r="I9" i="44"/>
  <c r="M51" i="44"/>
  <c r="M47" i="44"/>
  <c r="M42" i="44"/>
  <c r="M52" i="44"/>
  <c r="M48" i="44"/>
  <c r="M43" i="44"/>
  <c r="M39" i="44"/>
  <c r="M36" i="44"/>
  <c r="M32" i="44"/>
  <c r="M35" i="44"/>
  <c r="M31" i="44"/>
  <c r="M27" i="44"/>
  <c r="M23" i="44"/>
  <c r="M19" i="44"/>
  <c r="M15" i="44"/>
  <c r="M28" i="44"/>
  <c r="M20" i="44"/>
  <c r="M11" i="44"/>
  <c r="M26" i="44"/>
  <c r="M18" i="44"/>
  <c r="M12" i="44"/>
  <c r="M8" i="44"/>
  <c r="M7" i="44"/>
  <c r="M49" i="44"/>
  <c r="M45" i="44"/>
  <c r="M40" i="44"/>
  <c r="M50" i="44"/>
  <c r="M46" i="44"/>
  <c r="M41" i="44"/>
  <c r="M38" i="44"/>
  <c r="M34" i="44"/>
  <c r="M37" i="44"/>
  <c r="M33" i="44"/>
  <c r="M29" i="44"/>
  <c r="M25" i="44"/>
  <c r="M21" i="44"/>
  <c r="M17" i="44"/>
  <c r="M13" i="44"/>
  <c r="M24" i="44"/>
  <c r="M16" i="44"/>
  <c r="M30" i="44"/>
  <c r="M22" i="44"/>
  <c r="M14" i="44"/>
  <c r="M10" i="44"/>
  <c r="M9" i="44"/>
  <c r="Q51" i="44"/>
  <c r="Q47" i="44"/>
  <c r="Q42" i="44"/>
  <c r="Q52" i="44"/>
  <c r="Q48" i="44"/>
  <c r="Q43" i="44"/>
  <c r="Q39" i="44"/>
  <c r="Q36" i="44"/>
  <c r="Q32" i="44"/>
  <c r="Q35" i="44"/>
  <c r="Q31" i="44"/>
  <c r="Q27" i="44"/>
  <c r="Q23" i="44"/>
  <c r="Q19" i="44"/>
  <c r="Q15" i="44"/>
  <c r="Q28" i="44"/>
  <c r="Q20" i="44"/>
  <c r="Q11" i="44"/>
  <c r="Q30" i="44"/>
  <c r="Q22" i="44"/>
  <c r="Q14" i="44"/>
  <c r="Q10" i="44"/>
  <c r="Q7" i="44"/>
  <c r="Q49" i="44"/>
  <c r="Q45" i="44"/>
  <c r="Q40" i="44"/>
  <c r="Q50" i="44"/>
  <c r="Q46" i="44"/>
  <c r="Q41" i="44"/>
  <c r="Q38" i="44"/>
  <c r="Q34" i="44"/>
  <c r="Q37" i="44"/>
  <c r="Q33" i="44"/>
  <c r="Q29" i="44"/>
  <c r="Q25" i="44"/>
  <c r="Q21" i="44"/>
  <c r="Q17" i="44"/>
  <c r="Q13" i="44"/>
  <c r="Q24" i="44"/>
  <c r="Q16" i="44"/>
  <c r="Q9" i="44"/>
  <c r="Q26" i="44"/>
  <c r="Q18" i="44"/>
  <c r="Q12" i="44"/>
  <c r="Q8" i="44"/>
  <c r="U51" i="44"/>
  <c r="U47" i="44"/>
  <c r="U42" i="44"/>
  <c r="U38" i="44"/>
  <c r="U50" i="44"/>
  <c r="U46" i="44"/>
  <c r="U41" i="44"/>
  <c r="U36" i="44"/>
  <c r="U32" i="44"/>
  <c r="U35" i="44"/>
  <c r="U31" i="44"/>
  <c r="U27" i="44"/>
  <c r="U23" i="44"/>
  <c r="U19" i="44"/>
  <c r="U15" i="44"/>
  <c r="U28" i="44"/>
  <c r="U20" i="44"/>
  <c r="U12" i="44"/>
  <c r="U9" i="44"/>
  <c r="U26" i="44"/>
  <c r="U18" i="44"/>
  <c r="U10" i="44"/>
  <c r="U7" i="44"/>
  <c r="U49" i="44"/>
  <c r="U45" i="44"/>
  <c r="U40" i="44"/>
  <c r="U52" i="44"/>
  <c r="U48" i="44"/>
  <c r="U43" i="44"/>
  <c r="U39" i="44"/>
  <c r="U34" i="44"/>
  <c r="U37" i="44"/>
  <c r="U33" i="44"/>
  <c r="U29" i="44"/>
  <c r="U25" i="44"/>
  <c r="U21" i="44"/>
  <c r="U17" i="44"/>
  <c r="U13" i="44"/>
  <c r="U24" i="44"/>
  <c r="U16" i="44"/>
  <c r="U11" i="44"/>
  <c r="U30" i="44"/>
  <c r="U22" i="44"/>
  <c r="U14" i="44"/>
  <c r="U8" i="44"/>
  <c r="F50" i="44"/>
  <c r="F46" i="44"/>
  <c r="F41" i="44"/>
  <c r="F37" i="44"/>
  <c r="F33" i="44"/>
  <c r="F28" i="44"/>
  <c r="F24" i="44"/>
  <c r="F20" i="44"/>
  <c r="F16" i="44"/>
  <c r="F12" i="44"/>
  <c r="F8" i="44"/>
  <c r="F49" i="44"/>
  <c r="F45" i="44"/>
  <c r="F40" i="44"/>
  <c r="F36" i="44"/>
  <c r="F32" i="44"/>
  <c r="F29" i="44"/>
  <c r="F25" i="44"/>
  <c r="F21" i="44"/>
  <c r="F17" i="44"/>
  <c r="F13" i="44"/>
  <c r="F9" i="44"/>
  <c r="F52" i="44"/>
  <c r="F48" i="44"/>
  <c r="F43" i="44"/>
  <c r="F39" i="44"/>
  <c r="F35" i="44"/>
  <c r="F31" i="44"/>
  <c r="F26" i="44"/>
  <c r="F22" i="44"/>
  <c r="F18" i="44"/>
  <c r="F14" i="44"/>
  <c r="F10" i="44"/>
  <c r="F51" i="44"/>
  <c r="F47" i="44"/>
  <c r="F42" i="44"/>
  <c r="F38" i="44"/>
  <c r="F34" i="44"/>
  <c r="F30" i="44"/>
  <c r="F27" i="44"/>
  <c r="F23" i="44"/>
  <c r="F19" i="44"/>
  <c r="F15" i="44"/>
  <c r="F11" i="44"/>
  <c r="F7" i="44"/>
  <c r="J50" i="44"/>
  <c r="J46" i="44"/>
  <c r="J41" i="44"/>
  <c r="J51" i="44"/>
  <c r="J47" i="44"/>
  <c r="J42" i="44"/>
  <c r="J37" i="44"/>
  <c r="J33" i="44"/>
  <c r="J36" i="44"/>
  <c r="J32" i="44"/>
  <c r="J28" i="44"/>
  <c r="J24" i="44"/>
  <c r="J20" i="44"/>
  <c r="J16" i="44"/>
  <c r="J31" i="44"/>
  <c r="J23" i="44"/>
  <c r="J15" i="44"/>
  <c r="J10" i="44"/>
  <c r="J25" i="44"/>
  <c r="J17" i="44"/>
  <c r="J11" i="44"/>
  <c r="J7" i="44"/>
  <c r="J52" i="44"/>
  <c r="J48" i="44"/>
  <c r="J43" i="44"/>
  <c r="J39" i="44"/>
  <c r="J49" i="44"/>
  <c r="J45" i="44"/>
  <c r="J40" i="44"/>
  <c r="J35" i="44"/>
  <c r="J38" i="44"/>
  <c r="J34" i="44"/>
  <c r="J30" i="44"/>
  <c r="J26" i="44"/>
  <c r="J22" i="44"/>
  <c r="J18" i="44"/>
  <c r="J14" i="44"/>
  <c r="J27" i="44"/>
  <c r="J19" i="44"/>
  <c r="J12" i="44"/>
  <c r="J29" i="44"/>
  <c r="J21" i="44"/>
  <c r="J13" i="44"/>
  <c r="J9" i="44"/>
  <c r="J8" i="44"/>
  <c r="N50" i="44"/>
  <c r="N46" i="44"/>
  <c r="N41" i="44"/>
  <c r="N51" i="44"/>
  <c r="N47" i="44"/>
  <c r="N42" i="44"/>
  <c r="N37" i="44"/>
  <c r="N33" i="44"/>
  <c r="N36" i="44"/>
  <c r="N32" i="44"/>
  <c r="N28" i="44"/>
  <c r="N24" i="44"/>
  <c r="N20" i="44"/>
  <c r="N16" i="44"/>
  <c r="N31" i="44"/>
  <c r="N23" i="44"/>
  <c r="N15" i="44"/>
  <c r="N10" i="44"/>
  <c r="N25" i="44"/>
  <c r="N17" i="44"/>
  <c r="N11" i="44"/>
  <c r="N7" i="44"/>
  <c r="N52" i="44"/>
  <c r="N48" i="44"/>
  <c r="N43" i="44"/>
  <c r="N39" i="44"/>
  <c r="N49" i="44"/>
  <c r="N45" i="44"/>
  <c r="N40" i="44"/>
  <c r="N35" i="44"/>
  <c r="N38" i="44"/>
  <c r="N34" i="44"/>
  <c r="N30" i="44"/>
  <c r="N26" i="44"/>
  <c r="N22" i="44"/>
  <c r="N18" i="44"/>
  <c r="N14" i="44"/>
  <c r="N27" i="44"/>
  <c r="N19" i="44"/>
  <c r="N12" i="44"/>
  <c r="N29" i="44"/>
  <c r="N21" i="44"/>
  <c r="N13" i="44"/>
  <c r="N9" i="44"/>
  <c r="N8" i="44"/>
  <c r="R50" i="44"/>
  <c r="R46" i="44"/>
  <c r="R41" i="44"/>
  <c r="R51" i="44"/>
  <c r="R47" i="44"/>
  <c r="R42" i="44"/>
  <c r="R37" i="44"/>
  <c r="R33" i="44"/>
  <c r="R36" i="44"/>
  <c r="R32" i="44"/>
  <c r="R28" i="44"/>
  <c r="R24" i="44"/>
  <c r="R20" i="44"/>
  <c r="R16" i="44"/>
  <c r="R31" i="44"/>
  <c r="R23" i="44"/>
  <c r="R15" i="44"/>
  <c r="R10" i="44"/>
  <c r="R25" i="44"/>
  <c r="R17" i="44"/>
  <c r="R11" i="44"/>
  <c r="R7" i="44"/>
  <c r="R52" i="44"/>
  <c r="R48" i="44"/>
  <c r="R43" i="44"/>
  <c r="R39" i="44"/>
  <c r="R49" i="44"/>
  <c r="R45" i="44"/>
  <c r="R40" i="44"/>
  <c r="R35" i="44"/>
  <c r="R38" i="44"/>
  <c r="R34" i="44"/>
  <c r="R30" i="44"/>
  <c r="R26" i="44"/>
  <c r="R22" i="44"/>
  <c r="R18" i="44"/>
  <c r="R14" i="44"/>
  <c r="R27" i="44"/>
  <c r="R19" i="44"/>
  <c r="R12" i="44"/>
  <c r="R29" i="44"/>
  <c r="R21" i="44"/>
  <c r="R13" i="44"/>
  <c r="R9" i="44"/>
  <c r="R8" i="44"/>
  <c r="T52" i="44"/>
  <c r="T48" i="44"/>
  <c r="T43" i="44"/>
  <c r="T39" i="44"/>
  <c r="T49" i="44"/>
  <c r="T45" i="44"/>
  <c r="T40" i="44"/>
  <c r="T35" i="44"/>
  <c r="T38" i="44"/>
  <c r="T34" i="44"/>
  <c r="T30" i="44"/>
  <c r="T26" i="44"/>
  <c r="T22" i="44"/>
  <c r="T18" i="44"/>
  <c r="T14" i="44"/>
  <c r="T29" i="44"/>
  <c r="T21" i="44"/>
  <c r="T13" i="44"/>
  <c r="T31" i="44"/>
  <c r="T23" i="44"/>
  <c r="T15" i="44"/>
  <c r="T9" i="44"/>
  <c r="T8" i="44"/>
  <c r="T50" i="44"/>
  <c r="T46" i="44"/>
  <c r="T41" i="44"/>
  <c r="T51" i="44"/>
  <c r="T47" i="44"/>
  <c r="T42" i="44"/>
  <c r="T37" i="44"/>
  <c r="T33" i="44"/>
  <c r="T36" i="44"/>
  <c r="T32" i="44"/>
  <c r="T28" i="44"/>
  <c r="T24" i="44"/>
  <c r="T20" i="44"/>
  <c r="T16" i="44"/>
  <c r="T12" i="44"/>
  <c r="T25" i="44"/>
  <c r="T17" i="44"/>
  <c r="T10" i="44"/>
  <c r="T27" i="44"/>
  <c r="T19" i="44"/>
  <c r="T11" i="44"/>
  <c r="T7" i="44"/>
  <c r="D47" i="43"/>
  <c r="D45" i="43"/>
  <c r="D43" i="43"/>
  <c r="D40" i="43"/>
  <c r="D38" i="43"/>
  <c r="D36" i="43"/>
  <c r="D34" i="43"/>
  <c r="D32" i="43"/>
  <c r="D30" i="43"/>
  <c r="D28" i="43"/>
  <c r="D27" i="43"/>
  <c r="D25" i="43"/>
  <c r="D23" i="43"/>
  <c r="D21" i="43"/>
  <c r="D19" i="43"/>
  <c r="D17" i="43"/>
  <c r="D15" i="43"/>
  <c r="D13" i="43"/>
  <c r="D11" i="43"/>
  <c r="D9" i="43"/>
  <c r="D7" i="43"/>
  <c r="D48" i="43"/>
  <c r="D46" i="43"/>
  <c r="D44" i="43"/>
  <c r="D41" i="43"/>
  <c r="D39" i="43"/>
  <c r="D37" i="43"/>
  <c r="D35" i="43"/>
  <c r="D33" i="43"/>
  <c r="D31" i="43"/>
  <c r="D29" i="43"/>
  <c r="D26" i="43"/>
  <c r="D24" i="43"/>
  <c r="D22" i="43"/>
  <c r="D20" i="43"/>
  <c r="D18" i="43"/>
  <c r="D16" i="43"/>
  <c r="D14" i="43"/>
  <c r="D12" i="43"/>
  <c r="D10" i="43"/>
  <c r="D8" i="43"/>
  <c r="V2" i="43"/>
  <c r="H47" i="43"/>
  <c r="H45" i="43"/>
  <c r="H43" i="43"/>
  <c r="H40" i="43"/>
  <c r="H38" i="43"/>
  <c r="H36" i="43"/>
  <c r="H34" i="43"/>
  <c r="H32" i="43"/>
  <c r="H30" i="43"/>
  <c r="H28" i="43"/>
  <c r="H27" i="43"/>
  <c r="H25" i="43"/>
  <c r="H23" i="43"/>
  <c r="H21" i="43"/>
  <c r="H19" i="43"/>
  <c r="H17" i="43"/>
  <c r="H15" i="43"/>
  <c r="H13" i="43"/>
  <c r="H11" i="43"/>
  <c r="H9" i="43"/>
  <c r="H7" i="43"/>
  <c r="H48" i="43"/>
  <c r="H46" i="43"/>
  <c r="H44" i="43"/>
  <c r="H41" i="43"/>
  <c r="H39" i="43"/>
  <c r="H37" i="43"/>
  <c r="H35" i="43"/>
  <c r="H33" i="43"/>
  <c r="H31" i="43"/>
  <c r="H29" i="43"/>
  <c r="H26" i="43"/>
  <c r="H24" i="43"/>
  <c r="H22" i="43"/>
  <c r="H20" i="43"/>
  <c r="H18" i="43"/>
  <c r="H16" i="43"/>
  <c r="H14" i="43"/>
  <c r="H12" i="43"/>
  <c r="H10" i="43"/>
  <c r="H8" i="43"/>
  <c r="L47" i="43"/>
  <c r="L45" i="43"/>
  <c r="L43" i="43"/>
  <c r="L40" i="43"/>
  <c r="L38" i="43"/>
  <c r="L48" i="43"/>
  <c r="L46" i="43"/>
  <c r="L44" i="43"/>
  <c r="L41" i="43"/>
  <c r="L39" i="43"/>
  <c r="L36" i="43"/>
  <c r="L34" i="43"/>
  <c r="L32" i="43"/>
  <c r="L30" i="43"/>
  <c r="L28" i="43"/>
  <c r="L26" i="43"/>
  <c r="L24" i="43"/>
  <c r="L22" i="43"/>
  <c r="L20" i="43"/>
  <c r="L18" i="43"/>
  <c r="L16" i="43"/>
  <c r="L14" i="43"/>
  <c r="L12" i="43"/>
  <c r="L37" i="43"/>
  <c r="L35" i="43"/>
  <c r="L33" i="43"/>
  <c r="L31" i="43"/>
  <c r="L29" i="43"/>
  <c r="L27" i="43"/>
  <c r="L25" i="43"/>
  <c r="L23" i="43"/>
  <c r="L21" i="43"/>
  <c r="L19" i="43"/>
  <c r="L17" i="43"/>
  <c r="L15" i="43"/>
  <c r="L13" i="43"/>
  <c r="L10" i="43"/>
  <c r="L8" i="43"/>
  <c r="L11" i="43"/>
  <c r="L9" i="43"/>
  <c r="L7" i="43"/>
  <c r="P47" i="43"/>
  <c r="P45" i="43"/>
  <c r="P43" i="43"/>
  <c r="P40" i="43"/>
  <c r="P38" i="43"/>
  <c r="P48" i="43"/>
  <c r="P46" i="43"/>
  <c r="P44" i="43"/>
  <c r="P41" i="43"/>
  <c r="P39" i="43"/>
  <c r="P36" i="43"/>
  <c r="P34" i="43"/>
  <c r="P32" i="43"/>
  <c r="P30" i="43"/>
  <c r="P28" i="43"/>
  <c r="P26" i="43"/>
  <c r="P24" i="43"/>
  <c r="P22" i="43"/>
  <c r="P20" i="43"/>
  <c r="P18" i="43"/>
  <c r="P16" i="43"/>
  <c r="P14" i="43"/>
  <c r="P12" i="43"/>
  <c r="P37" i="43"/>
  <c r="P35" i="43"/>
  <c r="P33" i="43"/>
  <c r="P31" i="43"/>
  <c r="P29" i="43"/>
  <c r="P27" i="43"/>
  <c r="P25" i="43"/>
  <c r="P23" i="43"/>
  <c r="P21" i="43"/>
  <c r="P19" i="43"/>
  <c r="P17" i="43"/>
  <c r="P15" i="43"/>
  <c r="P13" i="43"/>
  <c r="P11" i="43"/>
  <c r="P10" i="43"/>
  <c r="P8" i="43"/>
  <c r="P9" i="43"/>
  <c r="P7" i="43"/>
  <c r="E48" i="43"/>
  <c r="E46" i="43"/>
  <c r="E44" i="43"/>
  <c r="E41" i="43"/>
  <c r="E39" i="43"/>
  <c r="E37" i="43"/>
  <c r="E35" i="43"/>
  <c r="E33" i="43"/>
  <c r="E31" i="43"/>
  <c r="E29" i="43"/>
  <c r="E26" i="43"/>
  <c r="E24" i="43"/>
  <c r="E22" i="43"/>
  <c r="E20" i="43"/>
  <c r="E18" i="43"/>
  <c r="E16" i="43"/>
  <c r="E14" i="43"/>
  <c r="E12" i="43"/>
  <c r="E10" i="43"/>
  <c r="E8" i="43"/>
  <c r="E47" i="43"/>
  <c r="E45" i="43"/>
  <c r="E43" i="43"/>
  <c r="E40" i="43"/>
  <c r="E38" i="43"/>
  <c r="E36" i="43"/>
  <c r="E34" i="43"/>
  <c r="E32" i="43"/>
  <c r="E30" i="43"/>
  <c r="E28" i="43"/>
  <c r="E27" i="43"/>
  <c r="E25" i="43"/>
  <c r="E23" i="43"/>
  <c r="E21" i="43"/>
  <c r="E19" i="43"/>
  <c r="E17" i="43"/>
  <c r="E15" i="43"/>
  <c r="E13" i="43"/>
  <c r="E11" i="43"/>
  <c r="E9" i="43"/>
  <c r="E7" i="43"/>
  <c r="I48" i="43"/>
  <c r="I46" i="43"/>
  <c r="I44" i="43"/>
  <c r="I41" i="43"/>
  <c r="I39" i="43"/>
  <c r="I47" i="43"/>
  <c r="I45" i="43"/>
  <c r="I43" i="43"/>
  <c r="I40" i="43"/>
  <c r="I38" i="43"/>
  <c r="I37" i="43"/>
  <c r="I35" i="43"/>
  <c r="I33" i="43"/>
  <c r="I31" i="43"/>
  <c r="I29" i="43"/>
  <c r="I27" i="43"/>
  <c r="I25" i="43"/>
  <c r="I23" i="43"/>
  <c r="I21" i="43"/>
  <c r="I19" i="43"/>
  <c r="I17" i="43"/>
  <c r="I15" i="43"/>
  <c r="I13" i="43"/>
  <c r="I36" i="43"/>
  <c r="I34" i="43"/>
  <c r="I32" i="43"/>
  <c r="I30" i="43"/>
  <c r="I28" i="43"/>
  <c r="I26" i="43"/>
  <c r="I24" i="43"/>
  <c r="I22" i="43"/>
  <c r="I20" i="43"/>
  <c r="I18" i="43"/>
  <c r="I16" i="43"/>
  <c r="I14" i="43"/>
  <c r="I12" i="43"/>
  <c r="I11" i="43"/>
  <c r="I9" i="43"/>
  <c r="I7" i="43"/>
  <c r="I10" i="43"/>
  <c r="I8" i="43"/>
  <c r="M48" i="43"/>
  <c r="M46" i="43"/>
  <c r="M44" i="43"/>
  <c r="M41" i="43"/>
  <c r="M39" i="43"/>
  <c r="M47" i="43"/>
  <c r="M45" i="43"/>
  <c r="M43" i="43"/>
  <c r="M40" i="43"/>
  <c r="M38" i="43"/>
  <c r="M37" i="43"/>
  <c r="M35" i="43"/>
  <c r="M33" i="43"/>
  <c r="M31" i="43"/>
  <c r="M29" i="43"/>
  <c r="M27" i="43"/>
  <c r="M25" i="43"/>
  <c r="M23" i="43"/>
  <c r="M21" i="43"/>
  <c r="M19" i="43"/>
  <c r="M17" i="43"/>
  <c r="M15" i="43"/>
  <c r="M13" i="43"/>
  <c r="M36" i="43"/>
  <c r="M34" i="43"/>
  <c r="M32" i="43"/>
  <c r="M30" i="43"/>
  <c r="M28" i="43"/>
  <c r="M26" i="43"/>
  <c r="M24" i="43"/>
  <c r="M22" i="43"/>
  <c r="M20" i="43"/>
  <c r="M18" i="43"/>
  <c r="M16" i="43"/>
  <c r="M14" i="43"/>
  <c r="M12" i="43"/>
  <c r="M11" i="43"/>
  <c r="M9" i="43"/>
  <c r="M7" i="43"/>
  <c r="M10" i="43"/>
  <c r="M8" i="43"/>
  <c r="Q48" i="43"/>
  <c r="Q46" i="43"/>
  <c r="Q44" i="43"/>
  <c r="Q41" i="43"/>
  <c r="Q39" i="43"/>
  <c r="Q47" i="43"/>
  <c r="Q45" i="43"/>
  <c r="Q43" i="43"/>
  <c r="Q40" i="43"/>
  <c r="Q38" i="43"/>
  <c r="Q37" i="43"/>
  <c r="Q35" i="43"/>
  <c r="Q33" i="43"/>
  <c r="Q31" i="43"/>
  <c r="Q29" i="43"/>
  <c r="Q27" i="43"/>
  <c r="Q25" i="43"/>
  <c r="Q23" i="43"/>
  <c r="Q21" i="43"/>
  <c r="Q19" i="43"/>
  <c r="Q17" i="43"/>
  <c r="Q15" i="43"/>
  <c r="Q13" i="43"/>
  <c r="Q11" i="43"/>
  <c r="Q36" i="43"/>
  <c r="Q34" i="43"/>
  <c r="Q32" i="43"/>
  <c r="Q30" i="43"/>
  <c r="Q28" i="43"/>
  <c r="Q26" i="43"/>
  <c r="Q24" i="43"/>
  <c r="Q22" i="43"/>
  <c r="Q20" i="43"/>
  <c r="Q18" i="43"/>
  <c r="Q16" i="43"/>
  <c r="Q14" i="43"/>
  <c r="Q12" i="43"/>
  <c r="Q9" i="43"/>
  <c r="Q7" i="43"/>
  <c r="Q10" i="43"/>
  <c r="Q8" i="43"/>
  <c r="U48" i="43"/>
  <c r="U46" i="43"/>
  <c r="U44" i="43"/>
  <c r="U41" i="43"/>
  <c r="U39" i="43"/>
  <c r="U37" i="43"/>
  <c r="U47" i="43"/>
  <c r="U45" i="43"/>
  <c r="U43" i="43"/>
  <c r="U40" i="43"/>
  <c r="U38" i="43"/>
  <c r="U35" i="43"/>
  <c r="U33" i="43"/>
  <c r="U31" i="43"/>
  <c r="U29" i="43"/>
  <c r="U27" i="43"/>
  <c r="U25" i="43"/>
  <c r="U23" i="43"/>
  <c r="U21" i="43"/>
  <c r="U19" i="43"/>
  <c r="U17" i="43"/>
  <c r="U15" i="43"/>
  <c r="U13" i="43"/>
  <c r="U11" i="43"/>
  <c r="U36" i="43"/>
  <c r="U34" i="43"/>
  <c r="U32" i="43"/>
  <c r="U30" i="43"/>
  <c r="U28" i="43"/>
  <c r="U26" i="43"/>
  <c r="U24" i="43"/>
  <c r="U22" i="43"/>
  <c r="U20" i="43"/>
  <c r="U18" i="43"/>
  <c r="U16" i="43"/>
  <c r="U14" i="43"/>
  <c r="U12" i="43"/>
  <c r="U9" i="43"/>
  <c r="U7" i="43"/>
  <c r="U10" i="43"/>
  <c r="U8" i="43"/>
  <c r="G49" i="44"/>
  <c r="G45" i="44"/>
  <c r="G40" i="44"/>
  <c r="G36" i="44"/>
  <c r="G32" i="44"/>
  <c r="G29" i="44"/>
  <c r="G25" i="44"/>
  <c r="G21" i="44"/>
  <c r="G17" i="44"/>
  <c r="G13" i="44"/>
  <c r="G9" i="44"/>
  <c r="G52" i="44"/>
  <c r="G48" i="44"/>
  <c r="G43" i="44"/>
  <c r="G39" i="44"/>
  <c r="G35" i="44"/>
  <c r="G31" i="44"/>
  <c r="G26" i="44"/>
  <c r="G22" i="44"/>
  <c r="G18" i="44"/>
  <c r="G14" i="44"/>
  <c r="G10" i="44"/>
  <c r="G51" i="44"/>
  <c r="G47" i="44"/>
  <c r="G42" i="44"/>
  <c r="G38" i="44"/>
  <c r="G34" i="44"/>
  <c r="G30" i="44"/>
  <c r="G27" i="44"/>
  <c r="G23" i="44"/>
  <c r="G19" i="44"/>
  <c r="G15" i="44"/>
  <c r="G11" i="44"/>
  <c r="G7" i="44"/>
  <c r="G50" i="44"/>
  <c r="G46" i="44"/>
  <c r="G41" i="44"/>
  <c r="G37" i="44"/>
  <c r="G33" i="44"/>
  <c r="G28" i="44"/>
  <c r="G24" i="44"/>
  <c r="G20" i="44"/>
  <c r="G16" i="44"/>
  <c r="G12" i="44"/>
  <c r="G8" i="44"/>
  <c r="K49" i="44"/>
  <c r="K45" i="44"/>
  <c r="K40" i="44"/>
  <c r="K50" i="44"/>
  <c r="K46" i="44"/>
  <c r="K41" i="44"/>
  <c r="K38" i="44"/>
  <c r="K34" i="44"/>
  <c r="K35" i="44"/>
  <c r="K31" i="44"/>
  <c r="K27" i="44"/>
  <c r="K23" i="44"/>
  <c r="K19" i="44"/>
  <c r="K15" i="44"/>
  <c r="K30" i="44"/>
  <c r="K22" i="44"/>
  <c r="K14" i="44"/>
  <c r="K32" i="44"/>
  <c r="K24" i="44"/>
  <c r="K16" i="44"/>
  <c r="K10" i="44"/>
  <c r="K9" i="44"/>
  <c r="K51" i="44"/>
  <c r="K47" i="44"/>
  <c r="K42" i="44"/>
  <c r="K52" i="44"/>
  <c r="K48" i="44"/>
  <c r="K43" i="44"/>
  <c r="K39" i="44"/>
  <c r="K36" i="44"/>
  <c r="K37" i="44"/>
  <c r="K33" i="44"/>
  <c r="K29" i="44"/>
  <c r="K25" i="44"/>
  <c r="K21" i="44"/>
  <c r="K17" i="44"/>
  <c r="K13" i="44"/>
  <c r="K26" i="44"/>
  <c r="K18" i="44"/>
  <c r="K11" i="44"/>
  <c r="K28" i="44"/>
  <c r="K20" i="44"/>
  <c r="K12" i="44"/>
  <c r="K8" i="44"/>
  <c r="K7" i="44"/>
  <c r="O49" i="44"/>
  <c r="O45" i="44"/>
  <c r="O40" i="44"/>
  <c r="O50" i="44"/>
  <c r="O46" i="44"/>
  <c r="O41" i="44"/>
  <c r="O38" i="44"/>
  <c r="O34" i="44"/>
  <c r="O37" i="44"/>
  <c r="O33" i="44"/>
  <c r="O29" i="44"/>
  <c r="O25" i="44"/>
  <c r="O21" i="44"/>
  <c r="O17" i="44"/>
  <c r="O13" i="44"/>
  <c r="O26" i="44"/>
  <c r="O18" i="44"/>
  <c r="O11" i="44"/>
  <c r="O51" i="44"/>
  <c r="O47" i="44"/>
  <c r="O42" i="44"/>
  <c r="O52" i="44"/>
  <c r="O48" i="44"/>
  <c r="O43" i="44"/>
  <c r="O39" i="44"/>
  <c r="O36" i="44"/>
  <c r="O32" i="44"/>
  <c r="O35" i="44"/>
  <c r="O31" i="44"/>
  <c r="O27" i="44"/>
  <c r="O23" i="44"/>
  <c r="O19" i="44"/>
  <c r="O15" i="44"/>
  <c r="O30" i="44"/>
  <c r="O22" i="44"/>
  <c r="O14" i="44"/>
  <c r="O9" i="44"/>
  <c r="O28" i="44"/>
  <c r="O20" i="44"/>
  <c r="O12" i="44"/>
  <c r="O8" i="44"/>
  <c r="O24" i="44"/>
  <c r="O16" i="44"/>
  <c r="O10" i="44"/>
  <c r="O7" i="44"/>
  <c r="S49" i="44"/>
  <c r="S45" i="44"/>
  <c r="S40" i="44"/>
  <c r="S50" i="44"/>
  <c r="S46" i="44"/>
  <c r="S41" i="44"/>
  <c r="S38" i="44"/>
  <c r="S34" i="44"/>
  <c r="S37" i="44"/>
  <c r="S33" i="44"/>
  <c r="S29" i="44"/>
  <c r="S25" i="44"/>
  <c r="S21" i="44"/>
  <c r="S17" i="44"/>
  <c r="S13" i="44"/>
  <c r="S26" i="44"/>
  <c r="S18" i="44"/>
  <c r="S11" i="44"/>
  <c r="S28" i="44"/>
  <c r="S20" i="44"/>
  <c r="S12" i="44"/>
  <c r="S8" i="44"/>
  <c r="S51" i="44"/>
  <c r="S47" i="44"/>
  <c r="S42" i="44"/>
  <c r="S52" i="44"/>
  <c r="S48" i="44"/>
  <c r="S43" i="44"/>
  <c r="S39" i="44"/>
  <c r="S36" i="44"/>
  <c r="S32" i="44"/>
  <c r="S35" i="44"/>
  <c r="S31" i="44"/>
  <c r="S27" i="44"/>
  <c r="S23" i="44"/>
  <c r="S19" i="44"/>
  <c r="S15" i="44"/>
  <c r="S30" i="44"/>
  <c r="S22" i="44"/>
  <c r="S14" i="44"/>
  <c r="S9" i="44"/>
  <c r="S24" i="44"/>
  <c r="S16" i="44"/>
  <c r="S10" i="44"/>
  <c r="S7" i="44"/>
  <c r="D52" i="44"/>
  <c r="D48" i="44"/>
  <c r="D43" i="44"/>
  <c r="D39" i="44"/>
  <c r="D35" i="44"/>
  <c r="D31" i="44"/>
  <c r="D26" i="44"/>
  <c r="D22" i="44"/>
  <c r="D18" i="44"/>
  <c r="D14" i="44"/>
  <c r="D10" i="44"/>
  <c r="D51" i="44"/>
  <c r="D47" i="44"/>
  <c r="D42" i="44"/>
  <c r="D38" i="44"/>
  <c r="D34" i="44"/>
  <c r="D30" i="44"/>
  <c r="D27" i="44"/>
  <c r="D23" i="44"/>
  <c r="D19" i="44"/>
  <c r="D15" i="44"/>
  <c r="D11" i="44"/>
  <c r="D7" i="44"/>
  <c r="D50" i="44"/>
  <c r="D46" i="44"/>
  <c r="D41" i="44"/>
  <c r="D37" i="44"/>
  <c r="D33" i="44"/>
  <c r="D28" i="44"/>
  <c r="D24" i="44"/>
  <c r="D20" i="44"/>
  <c r="D16" i="44"/>
  <c r="D12" i="44"/>
  <c r="D8" i="44"/>
  <c r="D49" i="44"/>
  <c r="D45" i="44"/>
  <c r="D40" i="44"/>
  <c r="D36" i="44"/>
  <c r="D32" i="44"/>
  <c r="D29" i="44"/>
  <c r="D25" i="44"/>
  <c r="D21" i="44"/>
  <c r="D17" i="44"/>
  <c r="D13" i="44"/>
  <c r="D9" i="44"/>
  <c r="V2" i="44"/>
  <c r="H52" i="44"/>
  <c r="H48" i="44"/>
  <c r="H43" i="44"/>
  <c r="H39" i="44"/>
  <c r="H35" i="44"/>
  <c r="H31" i="44"/>
  <c r="H26" i="44"/>
  <c r="H22" i="44"/>
  <c r="H18" i="44"/>
  <c r="H14" i="44"/>
  <c r="H10" i="44"/>
  <c r="H51" i="44"/>
  <c r="H47" i="44"/>
  <c r="H42" i="44"/>
  <c r="H38" i="44"/>
  <c r="H34" i="44"/>
  <c r="H30" i="44"/>
  <c r="H27" i="44"/>
  <c r="H23" i="44"/>
  <c r="H19" i="44"/>
  <c r="H15" i="44"/>
  <c r="H11" i="44"/>
  <c r="H7" i="44"/>
  <c r="H50" i="44"/>
  <c r="H46" i="44"/>
  <c r="H41" i="44"/>
  <c r="H37" i="44"/>
  <c r="H33" i="44"/>
  <c r="H28" i="44"/>
  <c r="H24" i="44"/>
  <c r="H20" i="44"/>
  <c r="H16" i="44"/>
  <c r="H12" i="44"/>
  <c r="H8" i="44"/>
  <c r="H49" i="44"/>
  <c r="H45" i="44"/>
  <c r="H40" i="44"/>
  <c r="H36" i="44"/>
  <c r="H32" i="44"/>
  <c r="H29" i="44"/>
  <c r="H25" i="44"/>
  <c r="H21" i="44"/>
  <c r="H17" i="44"/>
  <c r="H13" i="44"/>
  <c r="H9" i="44"/>
  <c r="L52" i="44"/>
  <c r="L48" i="44"/>
  <c r="L43" i="44"/>
  <c r="L39" i="44"/>
  <c r="L49" i="44"/>
  <c r="L45" i="44"/>
  <c r="L40" i="44"/>
  <c r="L35" i="44"/>
  <c r="L38" i="44"/>
  <c r="L34" i="44"/>
  <c r="L30" i="44"/>
  <c r="L26" i="44"/>
  <c r="L22" i="44"/>
  <c r="L18" i="44"/>
  <c r="L14" i="44"/>
  <c r="L25" i="44"/>
  <c r="L17" i="44"/>
  <c r="L12" i="44"/>
  <c r="L31" i="44"/>
  <c r="L23" i="44"/>
  <c r="L15" i="44"/>
  <c r="L9" i="44"/>
  <c r="L8" i="44"/>
  <c r="L50" i="44"/>
  <c r="L46" i="44"/>
  <c r="L41" i="44"/>
  <c r="L51" i="44"/>
  <c r="L47" i="44"/>
  <c r="L42" i="44"/>
  <c r="L37" i="44"/>
  <c r="L33" i="44"/>
  <c r="L36" i="44"/>
  <c r="L32" i="44"/>
  <c r="L28" i="44"/>
  <c r="L24" i="44"/>
  <c r="L20" i="44"/>
  <c r="L16" i="44"/>
  <c r="L29" i="44"/>
  <c r="L21" i="44"/>
  <c r="L13" i="44"/>
  <c r="L10" i="44"/>
  <c r="L27" i="44"/>
  <c r="L19" i="44"/>
  <c r="L11" i="44"/>
  <c r="L7" i="44"/>
  <c r="P52" i="44"/>
  <c r="P48" i="44"/>
  <c r="P43" i="44"/>
  <c r="P39" i="44"/>
  <c r="P49" i="44"/>
  <c r="P45" i="44"/>
  <c r="P40" i="44"/>
  <c r="P35" i="44"/>
  <c r="P38" i="44"/>
  <c r="P34" i="44"/>
  <c r="P30" i="44"/>
  <c r="P26" i="44"/>
  <c r="P22" i="44"/>
  <c r="P18" i="44"/>
  <c r="P14" i="44"/>
  <c r="P25" i="44"/>
  <c r="P17" i="44"/>
  <c r="P12" i="44"/>
  <c r="P31" i="44"/>
  <c r="P23" i="44"/>
  <c r="P15" i="44"/>
  <c r="P9" i="44"/>
  <c r="P8" i="44"/>
  <c r="P50" i="44"/>
  <c r="P46" i="44"/>
  <c r="P41" i="44"/>
  <c r="P51" i="44"/>
  <c r="P47" i="44"/>
  <c r="P42" i="44"/>
  <c r="P37" i="44"/>
  <c r="P33" i="44"/>
  <c r="P36" i="44"/>
  <c r="P32" i="44"/>
  <c r="P28" i="44"/>
  <c r="P24" i="44"/>
  <c r="P20" i="44"/>
  <c r="P16" i="44"/>
  <c r="P29" i="44"/>
  <c r="P21" i="44"/>
  <c r="P13" i="44"/>
  <c r="P10" i="44"/>
  <c r="P27" i="44"/>
  <c r="P19" i="44"/>
  <c r="P11" i="44"/>
  <c r="P7" i="44"/>
  <c r="T40" i="45"/>
  <c r="T38" i="45"/>
  <c r="T36" i="45"/>
  <c r="T41" i="45"/>
  <c r="T39" i="45"/>
  <c r="T37" i="45"/>
  <c r="T34" i="45"/>
  <c r="T32" i="45"/>
  <c r="T30" i="45"/>
  <c r="T28" i="45"/>
  <c r="T26" i="45"/>
  <c r="T24" i="45"/>
  <c r="T22" i="45"/>
  <c r="T20" i="45"/>
  <c r="T18" i="45"/>
  <c r="T16" i="45"/>
  <c r="T14" i="45"/>
  <c r="T12" i="45"/>
  <c r="T10" i="45"/>
  <c r="T8" i="45"/>
  <c r="T35" i="45"/>
  <c r="T33" i="45"/>
  <c r="T31" i="45"/>
  <c r="T29" i="45"/>
  <c r="T27" i="45"/>
  <c r="T25" i="45"/>
  <c r="T23" i="45"/>
  <c r="T21" i="45"/>
  <c r="T19" i="45"/>
  <c r="T17" i="45"/>
  <c r="T15" i="45"/>
  <c r="T13" i="45"/>
  <c r="T11" i="45"/>
  <c r="T9" i="45"/>
  <c r="T7" i="45"/>
  <c r="F40" i="45"/>
  <c r="F38" i="45"/>
  <c r="F36" i="45"/>
  <c r="F34" i="45"/>
  <c r="F32" i="45"/>
  <c r="F30" i="45"/>
  <c r="F28" i="45"/>
  <c r="F27" i="45"/>
  <c r="F25" i="45"/>
  <c r="F23" i="45"/>
  <c r="F21" i="45"/>
  <c r="F19" i="45"/>
  <c r="F17" i="45"/>
  <c r="F15" i="45"/>
  <c r="F13" i="45"/>
  <c r="F11" i="45"/>
  <c r="F9" i="45"/>
  <c r="F7" i="45"/>
  <c r="F41" i="45"/>
  <c r="F39" i="45"/>
  <c r="F37" i="45"/>
  <c r="F35" i="45"/>
  <c r="F33" i="45"/>
  <c r="F31" i="45"/>
  <c r="F29" i="45"/>
  <c r="F26" i="45"/>
  <c r="F24" i="45"/>
  <c r="F22" i="45"/>
  <c r="F20" i="45"/>
  <c r="F18" i="45"/>
  <c r="F16" i="45"/>
  <c r="F14" i="45"/>
  <c r="F12" i="45"/>
  <c r="F10" i="45"/>
  <c r="F8" i="45"/>
  <c r="J40" i="45"/>
  <c r="J38" i="45"/>
  <c r="J41" i="45"/>
  <c r="J39" i="45"/>
  <c r="J37" i="45"/>
  <c r="J34" i="45"/>
  <c r="J32" i="45"/>
  <c r="J30" i="45"/>
  <c r="J28" i="45"/>
  <c r="J26" i="45"/>
  <c r="J24" i="45"/>
  <c r="J22" i="45"/>
  <c r="J20" i="45"/>
  <c r="J18" i="45"/>
  <c r="J16" i="45"/>
  <c r="J14" i="45"/>
  <c r="J12" i="45"/>
  <c r="J10" i="45"/>
  <c r="J8" i="45"/>
  <c r="J36" i="45"/>
  <c r="J35" i="45"/>
  <c r="J33" i="45"/>
  <c r="J31" i="45"/>
  <c r="J29" i="45"/>
  <c r="J27" i="45"/>
  <c r="J25" i="45"/>
  <c r="J23" i="45"/>
  <c r="J21" i="45"/>
  <c r="J19" i="45"/>
  <c r="J17" i="45"/>
  <c r="J15" i="45"/>
  <c r="J13" i="45"/>
  <c r="J11" i="45"/>
  <c r="J9" i="45"/>
  <c r="J7" i="45"/>
  <c r="N40" i="45"/>
  <c r="N38" i="45"/>
  <c r="N36" i="45"/>
  <c r="N41" i="45"/>
  <c r="N39" i="45"/>
  <c r="N37" i="45"/>
  <c r="N34" i="45"/>
  <c r="N32" i="45"/>
  <c r="N30" i="45"/>
  <c r="N28" i="45"/>
  <c r="N26" i="45"/>
  <c r="N24" i="45"/>
  <c r="N22" i="45"/>
  <c r="N20" i="45"/>
  <c r="N18" i="45"/>
  <c r="N16" i="45"/>
  <c r="N14" i="45"/>
  <c r="N12" i="45"/>
  <c r="N10" i="45"/>
  <c r="N8" i="45"/>
  <c r="N35" i="45"/>
  <c r="N33" i="45"/>
  <c r="N31" i="45"/>
  <c r="N29" i="45"/>
  <c r="N27" i="45"/>
  <c r="N25" i="45"/>
  <c r="N23" i="45"/>
  <c r="N21" i="45"/>
  <c r="N19" i="45"/>
  <c r="N17" i="45"/>
  <c r="N15" i="45"/>
  <c r="N13" i="45"/>
  <c r="N11" i="45"/>
  <c r="N9" i="45"/>
  <c r="N7" i="45"/>
  <c r="R40" i="45"/>
  <c r="R38" i="45"/>
  <c r="R36" i="45"/>
  <c r="R41" i="45"/>
  <c r="R39" i="45"/>
  <c r="R37" i="45"/>
  <c r="R34" i="45"/>
  <c r="R32" i="45"/>
  <c r="R30" i="45"/>
  <c r="R28" i="45"/>
  <c r="R26" i="45"/>
  <c r="R24" i="45"/>
  <c r="R22" i="45"/>
  <c r="R20" i="45"/>
  <c r="R18" i="45"/>
  <c r="R16" i="45"/>
  <c r="R14" i="45"/>
  <c r="R12" i="45"/>
  <c r="R10" i="45"/>
  <c r="R8" i="45"/>
  <c r="R35" i="45"/>
  <c r="R33" i="45"/>
  <c r="R31" i="45"/>
  <c r="R29" i="45"/>
  <c r="R27" i="45"/>
  <c r="R25" i="45"/>
  <c r="R23" i="45"/>
  <c r="R21" i="45"/>
  <c r="R19" i="45"/>
  <c r="R17" i="45"/>
  <c r="R15" i="45"/>
  <c r="R13" i="45"/>
  <c r="R11" i="45"/>
  <c r="R9" i="45"/>
  <c r="R7" i="45"/>
  <c r="G41" i="45"/>
  <c r="G39" i="45"/>
  <c r="G37" i="45"/>
  <c r="G35" i="45"/>
  <c r="G33" i="45"/>
  <c r="G31" i="45"/>
  <c r="G29" i="45"/>
  <c r="G26" i="45"/>
  <c r="G24" i="45"/>
  <c r="G22" i="45"/>
  <c r="G20" i="45"/>
  <c r="G18" i="45"/>
  <c r="G16" i="45"/>
  <c r="G14" i="45"/>
  <c r="G12" i="45"/>
  <c r="G10" i="45"/>
  <c r="G8" i="45"/>
  <c r="G40" i="45"/>
  <c r="G38" i="45"/>
  <c r="G36" i="45"/>
  <c r="G34" i="45"/>
  <c r="G32" i="45"/>
  <c r="G30" i="45"/>
  <c r="G28" i="45"/>
  <c r="G27" i="45"/>
  <c r="G25" i="45"/>
  <c r="G23" i="45"/>
  <c r="G21" i="45"/>
  <c r="G19" i="45"/>
  <c r="G17" i="45"/>
  <c r="G15" i="45"/>
  <c r="G13" i="45"/>
  <c r="G11" i="45"/>
  <c r="G9" i="45"/>
  <c r="G7" i="45"/>
  <c r="K41" i="45"/>
  <c r="K39" i="45"/>
  <c r="K37" i="45"/>
  <c r="K40" i="45"/>
  <c r="K38" i="45"/>
  <c r="K36" i="45"/>
  <c r="K35" i="45"/>
  <c r="K33" i="45"/>
  <c r="K31" i="45"/>
  <c r="K29" i="45"/>
  <c r="K27" i="45"/>
  <c r="K25" i="45"/>
  <c r="K23" i="45"/>
  <c r="K21" i="45"/>
  <c r="K19" i="45"/>
  <c r="K17" i="45"/>
  <c r="K15" i="45"/>
  <c r="K13" i="45"/>
  <c r="K11" i="45"/>
  <c r="K9" i="45"/>
  <c r="K7" i="45"/>
  <c r="K34" i="45"/>
  <c r="K32" i="45"/>
  <c r="K30" i="45"/>
  <c r="K28" i="45"/>
  <c r="K26" i="45"/>
  <c r="K24" i="45"/>
  <c r="K22" i="45"/>
  <c r="K20" i="45"/>
  <c r="K18" i="45"/>
  <c r="K16" i="45"/>
  <c r="K14" i="45"/>
  <c r="K12" i="45"/>
  <c r="K10" i="45"/>
  <c r="K8" i="45"/>
  <c r="O41" i="45"/>
  <c r="O39" i="45"/>
  <c r="O37" i="45"/>
  <c r="O40" i="45"/>
  <c r="O38" i="45"/>
  <c r="O36" i="45"/>
  <c r="O35" i="45"/>
  <c r="O33" i="45"/>
  <c r="O31" i="45"/>
  <c r="O29" i="45"/>
  <c r="O27" i="45"/>
  <c r="O25" i="45"/>
  <c r="O23" i="45"/>
  <c r="O21" i="45"/>
  <c r="O19" i="45"/>
  <c r="O17" i="45"/>
  <c r="O15" i="45"/>
  <c r="O13" i="45"/>
  <c r="O11" i="45"/>
  <c r="O9" i="45"/>
  <c r="O7" i="45"/>
  <c r="O34" i="45"/>
  <c r="O32" i="45"/>
  <c r="O30" i="45"/>
  <c r="O28" i="45"/>
  <c r="O26" i="45"/>
  <c r="O24" i="45"/>
  <c r="O22" i="45"/>
  <c r="O20" i="45"/>
  <c r="O18" i="45"/>
  <c r="O16" i="45"/>
  <c r="O14" i="45"/>
  <c r="O12" i="45"/>
  <c r="O10" i="45"/>
  <c r="O8" i="45"/>
  <c r="S41" i="45"/>
  <c r="S39" i="45"/>
  <c r="S37" i="45"/>
  <c r="S40" i="45"/>
  <c r="S38" i="45"/>
  <c r="S36" i="45"/>
  <c r="S35" i="45"/>
  <c r="S33" i="45"/>
  <c r="S31" i="45"/>
  <c r="S29" i="45"/>
  <c r="S27" i="45"/>
  <c r="S25" i="45"/>
  <c r="S23" i="45"/>
  <c r="S21" i="45"/>
  <c r="S19" i="45"/>
  <c r="S17" i="45"/>
  <c r="S15" i="45"/>
  <c r="S13" i="45"/>
  <c r="S11" i="45"/>
  <c r="S9" i="45"/>
  <c r="S7" i="45"/>
  <c r="S34" i="45"/>
  <c r="S32" i="45"/>
  <c r="S30" i="45"/>
  <c r="S28" i="45"/>
  <c r="S26" i="45"/>
  <c r="S24" i="45"/>
  <c r="S22" i="45"/>
  <c r="S20" i="45"/>
  <c r="S18" i="45"/>
  <c r="S16" i="45"/>
  <c r="S14" i="45"/>
  <c r="S12" i="45"/>
  <c r="S10" i="45"/>
  <c r="S8" i="45"/>
  <c r="E43" i="46"/>
  <c r="E39" i="46"/>
  <c r="E35" i="46"/>
  <c r="E31" i="46"/>
  <c r="E26" i="46"/>
  <c r="E22" i="46"/>
  <c r="E18" i="46"/>
  <c r="E14" i="46"/>
  <c r="E10" i="46"/>
  <c r="E41" i="46"/>
  <c r="E37" i="46"/>
  <c r="E33" i="46"/>
  <c r="E28" i="46"/>
  <c r="E24" i="46"/>
  <c r="E20" i="46"/>
  <c r="E16" i="46"/>
  <c r="E12" i="46"/>
  <c r="E8" i="46"/>
  <c r="E9" i="46"/>
  <c r="E13" i="46"/>
  <c r="E17" i="46"/>
  <c r="E21" i="46"/>
  <c r="E25" i="46"/>
  <c r="E29" i="46"/>
  <c r="E32" i="46"/>
  <c r="E36" i="46"/>
  <c r="E40" i="46"/>
  <c r="E7" i="46"/>
  <c r="E11" i="46"/>
  <c r="E15" i="46"/>
  <c r="E19" i="46"/>
  <c r="E23" i="46"/>
  <c r="E27" i="46"/>
  <c r="E30" i="46"/>
  <c r="E34" i="46"/>
  <c r="E38" i="46"/>
  <c r="E42" i="46"/>
  <c r="I42" i="46"/>
  <c r="I38" i="46"/>
  <c r="I41" i="46"/>
  <c r="I37" i="46"/>
  <c r="I33" i="46"/>
  <c r="I29" i="46"/>
  <c r="I25" i="46"/>
  <c r="I21" i="46"/>
  <c r="I17" i="46"/>
  <c r="I13" i="46"/>
  <c r="I9" i="46"/>
  <c r="I36" i="46"/>
  <c r="I30" i="46"/>
  <c r="I20" i="46"/>
  <c r="I16" i="46"/>
  <c r="I28" i="46"/>
  <c r="I22" i="46"/>
  <c r="I40" i="46"/>
  <c r="I43" i="46"/>
  <c r="I39" i="46"/>
  <c r="I35" i="46"/>
  <c r="I31" i="46"/>
  <c r="I27" i="46"/>
  <c r="I23" i="46"/>
  <c r="I19" i="46"/>
  <c r="I15" i="46"/>
  <c r="I11" i="46"/>
  <c r="I7" i="46"/>
  <c r="I34" i="46"/>
  <c r="I24" i="46"/>
  <c r="I18" i="46"/>
  <c r="I32" i="46"/>
  <c r="I26" i="46"/>
  <c r="I14" i="46"/>
  <c r="I8" i="46"/>
  <c r="I10" i="46"/>
  <c r="I12" i="46"/>
  <c r="M40" i="46"/>
  <c r="M43" i="46"/>
  <c r="M39" i="46"/>
  <c r="M35" i="46"/>
  <c r="M31" i="46"/>
  <c r="M27" i="46"/>
  <c r="M23" i="46"/>
  <c r="M19" i="46"/>
  <c r="M15" i="46"/>
  <c r="M11" i="46"/>
  <c r="M7" i="46"/>
  <c r="M30" i="46"/>
  <c r="M20" i="46"/>
  <c r="M16" i="46"/>
  <c r="M34" i="46"/>
  <c r="M28" i="46"/>
  <c r="M22" i="46"/>
  <c r="M42" i="46"/>
  <c r="M38" i="46"/>
  <c r="M41" i="46"/>
  <c r="M37" i="46"/>
  <c r="M33" i="46"/>
  <c r="M29" i="46"/>
  <c r="M25" i="46"/>
  <c r="M21" i="46"/>
  <c r="M17" i="46"/>
  <c r="M13" i="46"/>
  <c r="M9" i="46"/>
  <c r="M36" i="46"/>
  <c r="M24" i="46"/>
  <c r="M18" i="46"/>
  <c r="M12" i="46"/>
  <c r="M32" i="46"/>
  <c r="M26" i="46"/>
  <c r="M14" i="46"/>
  <c r="M8" i="46"/>
  <c r="M10" i="46"/>
  <c r="Q40" i="46"/>
  <c r="Q43" i="46"/>
  <c r="Q39" i="46"/>
  <c r="Q35" i="46"/>
  <c r="Q31" i="46"/>
  <c r="Q27" i="46"/>
  <c r="Q23" i="46"/>
  <c r="Q19" i="46"/>
  <c r="Q15" i="46"/>
  <c r="Q11" i="46"/>
  <c r="Q7" i="46"/>
  <c r="Q34" i="46"/>
  <c r="Q24" i="46"/>
  <c r="Q18" i="46"/>
  <c r="Q32" i="46"/>
  <c r="Q26" i="46"/>
  <c r="Q16" i="46"/>
  <c r="Q42" i="46"/>
  <c r="Q38" i="46"/>
  <c r="Q41" i="46"/>
  <c r="Q37" i="46"/>
  <c r="Q33" i="46"/>
  <c r="Q29" i="46"/>
  <c r="Q25" i="46"/>
  <c r="Q21" i="46"/>
  <c r="Q17" i="46"/>
  <c r="Q13" i="46"/>
  <c r="Q9" i="46"/>
  <c r="Q36" i="46"/>
  <c r="Q30" i="46"/>
  <c r="Q20" i="46"/>
  <c r="Q12" i="46"/>
  <c r="Q28" i="46"/>
  <c r="Q22" i="46"/>
  <c r="Q14" i="46"/>
  <c r="Q8" i="46"/>
  <c r="Q10" i="46"/>
  <c r="U40" i="46"/>
  <c r="U43" i="46"/>
  <c r="U39" i="46"/>
  <c r="U35" i="46"/>
  <c r="U31" i="46"/>
  <c r="U27" i="46"/>
  <c r="U23" i="46"/>
  <c r="U19" i="46"/>
  <c r="U15" i="46"/>
  <c r="U11" i="46"/>
  <c r="U7" i="46"/>
  <c r="U34" i="46"/>
  <c r="U24" i="46"/>
  <c r="U18" i="46"/>
  <c r="U32" i="46"/>
  <c r="U26" i="46"/>
  <c r="U16" i="46"/>
  <c r="U42" i="46"/>
  <c r="U38" i="46"/>
  <c r="U41" i="46"/>
  <c r="U37" i="46"/>
  <c r="U33" i="46"/>
  <c r="U29" i="46"/>
  <c r="U25" i="46"/>
  <c r="U21" i="46"/>
  <c r="U17" i="46"/>
  <c r="U13" i="46"/>
  <c r="U9" i="46"/>
  <c r="U36" i="46"/>
  <c r="U30" i="46"/>
  <c r="U20" i="46"/>
  <c r="U12" i="46"/>
  <c r="U28" i="46"/>
  <c r="U22" i="46"/>
  <c r="U14" i="46"/>
  <c r="U8" i="46"/>
  <c r="U10" i="46"/>
  <c r="F42" i="46"/>
  <c r="F10" i="46"/>
  <c r="F18" i="46"/>
  <c r="F26" i="46"/>
  <c r="F37" i="46"/>
  <c r="F12" i="46"/>
  <c r="F20" i="46"/>
  <c r="F28" i="46"/>
  <c r="F35" i="46"/>
  <c r="F43" i="46"/>
  <c r="F14" i="46"/>
  <c r="F22" i="46"/>
  <c r="F33" i="46"/>
  <c r="F41" i="46"/>
  <c r="F8" i="46"/>
  <c r="F16" i="46"/>
  <c r="F24" i="46"/>
  <c r="F31" i="46"/>
  <c r="F39" i="46"/>
  <c r="F7" i="46"/>
  <c r="F11" i="46"/>
  <c r="F15" i="46"/>
  <c r="F19" i="46"/>
  <c r="F23" i="46"/>
  <c r="F27" i="46"/>
  <c r="F30" i="46"/>
  <c r="F34" i="46"/>
  <c r="F9" i="46"/>
  <c r="F13" i="46"/>
  <c r="F17" i="46"/>
  <c r="F21" i="46"/>
  <c r="F25" i="46"/>
  <c r="F29" i="46"/>
  <c r="F32" i="46"/>
  <c r="F38" i="46"/>
  <c r="F36" i="46"/>
  <c r="F40" i="46"/>
  <c r="J37" i="46"/>
  <c r="J9" i="46"/>
  <c r="J13" i="46"/>
  <c r="J17" i="46"/>
  <c r="J21" i="46"/>
  <c r="J25" i="46"/>
  <c r="J29" i="46"/>
  <c r="J33" i="46"/>
  <c r="J7" i="46"/>
  <c r="J11" i="46"/>
  <c r="J15" i="46"/>
  <c r="J19" i="46"/>
  <c r="J23" i="46"/>
  <c r="J27" i="46"/>
  <c r="J31" i="46"/>
  <c r="J35" i="46"/>
  <c r="J43" i="46"/>
  <c r="J39" i="46"/>
  <c r="J40" i="46"/>
  <c r="J41" i="46"/>
  <c r="J42" i="46"/>
  <c r="J38" i="46"/>
  <c r="J8" i="46"/>
  <c r="J10" i="46"/>
  <c r="J12" i="46"/>
  <c r="J14" i="46"/>
  <c r="J16" i="46"/>
  <c r="J18" i="46"/>
  <c r="J20" i="46"/>
  <c r="J22" i="46"/>
  <c r="J24" i="46"/>
  <c r="J26" i="46"/>
  <c r="J28" i="46"/>
  <c r="J30" i="46"/>
  <c r="J32" i="46"/>
  <c r="J34" i="46"/>
  <c r="J36" i="46"/>
  <c r="N35" i="46"/>
  <c r="N7" i="46"/>
  <c r="N11" i="46"/>
  <c r="N15" i="46"/>
  <c r="N19" i="46"/>
  <c r="N23" i="46"/>
  <c r="N27" i="46"/>
  <c r="N31" i="46"/>
  <c r="N9" i="46"/>
  <c r="N13" i="46"/>
  <c r="N17" i="46"/>
  <c r="N21" i="46"/>
  <c r="N25" i="46"/>
  <c r="N29" i="46"/>
  <c r="N33" i="46"/>
  <c r="N43" i="46"/>
  <c r="N39" i="46"/>
  <c r="N42" i="46"/>
  <c r="N38" i="46"/>
  <c r="N41" i="46"/>
  <c r="N37" i="46"/>
  <c r="N40" i="46"/>
  <c r="N8" i="46"/>
  <c r="N10" i="46"/>
  <c r="N12" i="46"/>
  <c r="N14" i="46"/>
  <c r="N16" i="46"/>
  <c r="N18" i="46"/>
  <c r="N20" i="46"/>
  <c r="N22" i="46"/>
  <c r="N24" i="46"/>
  <c r="N26" i="46"/>
  <c r="N28" i="46"/>
  <c r="N30" i="46"/>
  <c r="N32" i="46"/>
  <c r="N34" i="46"/>
  <c r="N36" i="46"/>
  <c r="R35" i="46"/>
  <c r="R9" i="46"/>
  <c r="R13" i="46"/>
  <c r="R17" i="46"/>
  <c r="R21" i="46"/>
  <c r="R25" i="46"/>
  <c r="R29" i="46"/>
  <c r="R33" i="46"/>
  <c r="R7" i="46"/>
  <c r="R11" i="46"/>
  <c r="R15" i="46"/>
  <c r="R19" i="46"/>
  <c r="R23" i="46"/>
  <c r="R27" i="46"/>
  <c r="R31" i="46"/>
  <c r="R43" i="46"/>
  <c r="R39" i="46"/>
  <c r="R42" i="46"/>
  <c r="R38" i="46"/>
  <c r="R41" i="46"/>
  <c r="R37" i="46"/>
  <c r="R40" i="46"/>
  <c r="R8" i="46"/>
  <c r="R10" i="46"/>
  <c r="R12" i="46"/>
  <c r="R14" i="46"/>
  <c r="R16" i="46"/>
  <c r="R18" i="46"/>
  <c r="R20" i="46"/>
  <c r="R22" i="46"/>
  <c r="R24" i="46"/>
  <c r="R26" i="46"/>
  <c r="R28" i="46"/>
  <c r="R30" i="46"/>
  <c r="R32" i="46"/>
  <c r="R34" i="46"/>
  <c r="R36" i="46"/>
  <c r="T35" i="46"/>
  <c r="T7" i="46"/>
  <c r="T11" i="46"/>
  <c r="T15" i="46"/>
  <c r="T19" i="46"/>
  <c r="T23" i="46"/>
  <c r="T27" i="46"/>
  <c r="T31" i="46"/>
  <c r="T9" i="46"/>
  <c r="T13" i="46"/>
  <c r="T17" i="46"/>
  <c r="T21" i="46"/>
  <c r="T25" i="46"/>
  <c r="T29" i="46"/>
  <c r="T33" i="46"/>
  <c r="T41" i="46"/>
  <c r="T37" i="46"/>
  <c r="T40" i="46"/>
  <c r="T43" i="46"/>
  <c r="T39" i="46"/>
  <c r="T42" i="46"/>
  <c r="T38" i="46"/>
  <c r="T8" i="46"/>
  <c r="T10" i="46"/>
  <c r="T12" i="46"/>
  <c r="T14" i="46"/>
  <c r="T16" i="46"/>
  <c r="T18" i="46"/>
  <c r="T20" i="46"/>
  <c r="T22" i="46"/>
  <c r="T24" i="46"/>
  <c r="T26" i="46"/>
  <c r="T28" i="46"/>
  <c r="T30" i="46"/>
  <c r="T32" i="46"/>
  <c r="T34" i="46"/>
  <c r="T36" i="46"/>
  <c r="D40" i="45"/>
  <c r="D38" i="45"/>
  <c r="D36" i="45"/>
  <c r="D34" i="45"/>
  <c r="D32" i="45"/>
  <c r="D30" i="45"/>
  <c r="D28" i="45"/>
  <c r="D27" i="45"/>
  <c r="D25" i="45"/>
  <c r="D23" i="45"/>
  <c r="D21" i="45"/>
  <c r="D19" i="45"/>
  <c r="D17" i="45"/>
  <c r="D15" i="45"/>
  <c r="D13" i="45"/>
  <c r="D11" i="45"/>
  <c r="D9" i="45"/>
  <c r="D7" i="45"/>
  <c r="D41" i="45"/>
  <c r="D39" i="45"/>
  <c r="D37" i="45"/>
  <c r="D35" i="45"/>
  <c r="D33" i="45"/>
  <c r="D31" i="45"/>
  <c r="D29" i="45"/>
  <c r="D26" i="45"/>
  <c r="D24" i="45"/>
  <c r="D22" i="45"/>
  <c r="D20" i="45"/>
  <c r="D18" i="45"/>
  <c r="D16" i="45"/>
  <c r="D14" i="45"/>
  <c r="D12" i="45"/>
  <c r="D10" i="45"/>
  <c r="D8" i="45"/>
  <c r="V2" i="45"/>
  <c r="H40" i="45"/>
  <c r="H38" i="45"/>
  <c r="H36" i="45"/>
  <c r="H34" i="45"/>
  <c r="H32" i="45"/>
  <c r="H30" i="45"/>
  <c r="H28" i="45"/>
  <c r="H27" i="45"/>
  <c r="H25" i="45"/>
  <c r="H23" i="45"/>
  <c r="H21" i="45"/>
  <c r="H19" i="45"/>
  <c r="H17" i="45"/>
  <c r="H15" i="45"/>
  <c r="H13" i="45"/>
  <c r="H11" i="45"/>
  <c r="H9" i="45"/>
  <c r="H7" i="45"/>
  <c r="H41" i="45"/>
  <c r="H39" i="45"/>
  <c r="H37" i="45"/>
  <c r="H35" i="45"/>
  <c r="H33" i="45"/>
  <c r="H31" i="45"/>
  <c r="H29" i="45"/>
  <c r="H26" i="45"/>
  <c r="H24" i="45"/>
  <c r="H22" i="45"/>
  <c r="H20" i="45"/>
  <c r="H18" i="45"/>
  <c r="H16" i="45"/>
  <c r="H14" i="45"/>
  <c r="H12" i="45"/>
  <c r="H10" i="45"/>
  <c r="H8" i="45"/>
  <c r="L40" i="45"/>
  <c r="L38" i="45"/>
  <c r="L41" i="45"/>
  <c r="L39" i="45"/>
  <c r="L37" i="45"/>
  <c r="L36" i="45"/>
  <c r="L34" i="45"/>
  <c r="L32" i="45"/>
  <c r="L30" i="45"/>
  <c r="L28" i="45"/>
  <c r="L26" i="45"/>
  <c r="L24" i="45"/>
  <c r="L22" i="45"/>
  <c r="L20" i="45"/>
  <c r="L18" i="45"/>
  <c r="L16" i="45"/>
  <c r="L14" i="45"/>
  <c r="L12" i="45"/>
  <c r="L10" i="45"/>
  <c r="L8" i="45"/>
  <c r="L35" i="45"/>
  <c r="L33" i="45"/>
  <c r="L31" i="45"/>
  <c r="L29" i="45"/>
  <c r="L27" i="45"/>
  <c r="L25" i="45"/>
  <c r="L23" i="45"/>
  <c r="L21" i="45"/>
  <c r="L19" i="45"/>
  <c r="L17" i="45"/>
  <c r="L15" i="45"/>
  <c r="L13" i="45"/>
  <c r="L11" i="45"/>
  <c r="L9" i="45"/>
  <c r="L7" i="45"/>
  <c r="P40" i="45"/>
  <c r="P38" i="45"/>
  <c r="P36" i="45"/>
  <c r="P41" i="45"/>
  <c r="P39" i="45"/>
  <c r="P37" i="45"/>
  <c r="P34" i="45"/>
  <c r="P32" i="45"/>
  <c r="P30" i="45"/>
  <c r="P28" i="45"/>
  <c r="P26" i="45"/>
  <c r="P24" i="45"/>
  <c r="P22" i="45"/>
  <c r="P20" i="45"/>
  <c r="P18" i="45"/>
  <c r="P16" i="45"/>
  <c r="P14" i="45"/>
  <c r="P12" i="45"/>
  <c r="P10" i="45"/>
  <c r="P8" i="45"/>
  <c r="P35" i="45"/>
  <c r="P33" i="45"/>
  <c r="P31" i="45"/>
  <c r="P29" i="45"/>
  <c r="P27" i="45"/>
  <c r="P25" i="45"/>
  <c r="P23" i="45"/>
  <c r="P21" i="45"/>
  <c r="P19" i="45"/>
  <c r="P17" i="45"/>
  <c r="P15" i="45"/>
  <c r="P13" i="45"/>
  <c r="P11" i="45"/>
  <c r="P9" i="45"/>
  <c r="P7" i="45"/>
  <c r="E41" i="45"/>
  <c r="E39" i="45"/>
  <c r="E37" i="45"/>
  <c r="E35" i="45"/>
  <c r="E33" i="45"/>
  <c r="E31" i="45"/>
  <c r="E29" i="45"/>
  <c r="E26" i="45"/>
  <c r="E24" i="45"/>
  <c r="E22" i="45"/>
  <c r="E20" i="45"/>
  <c r="E18" i="45"/>
  <c r="E16" i="45"/>
  <c r="E14" i="45"/>
  <c r="E12" i="45"/>
  <c r="E10" i="45"/>
  <c r="E8" i="45"/>
  <c r="E40" i="45"/>
  <c r="E38" i="45"/>
  <c r="E36" i="45"/>
  <c r="E34" i="45"/>
  <c r="E32" i="45"/>
  <c r="E30" i="45"/>
  <c r="E28" i="45"/>
  <c r="E27" i="45"/>
  <c r="E25" i="45"/>
  <c r="E23" i="45"/>
  <c r="E21" i="45"/>
  <c r="E19" i="45"/>
  <c r="E17" i="45"/>
  <c r="E15" i="45"/>
  <c r="E13" i="45"/>
  <c r="E11" i="45"/>
  <c r="E9" i="45"/>
  <c r="E7" i="45"/>
  <c r="I41" i="45"/>
  <c r="I39" i="45"/>
  <c r="I37" i="45"/>
  <c r="I40" i="45"/>
  <c r="I38" i="45"/>
  <c r="I36" i="45"/>
  <c r="I35" i="45"/>
  <c r="I33" i="45"/>
  <c r="I31" i="45"/>
  <c r="I29" i="45"/>
  <c r="I27" i="45"/>
  <c r="I25" i="45"/>
  <c r="I23" i="45"/>
  <c r="I21" i="45"/>
  <c r="I19" i="45"/>
  <c r="I17" i="45"/>
  <c r="I15" i="45"/>
  <c r="I13" i="45"/>
  <c r="I11" i="45"/>
  <c r="I9" i="45"/>
  <c r="I7" i="45"/>
  <c r="I34" i="45"/>
  <c r="I32" i="45"/>
  <c r="I30" i="45"/>
  <c r="I28" i="45"/>
  <c r="I26" i="45"/>
  <c r="I24" i="45"/>
  <c r="I22" i="45"/>
  <c r="I20" i="45"/>
  <c r="I18" i="45"/>
  <c r="I16" i="45"/>
  <c r="I14" i="45"/>
  <c r="I12" i="45"/>
  <c r="I10" i="45"/>
  <c r="I8" i="45"/>
  <c r="M41" i="45"/>
  <c r="M39" i="45"/>
  <c r="M37" i="45"/>
  <c r="M40" i="45"/>
  <c r="M38" i="45"/>
  <c r="M36" i="45"/>
  <c r="M35" i="45"/>
  <c r="M33" i="45"/>
  <c r="M31" i="45"/>
  <c r="M29" i="45"/>
  <c r="M27" i="45"/>
  <c r="M25" i="45"/>
  <c r="M23" i="45"/>
  <c r="M21" i="45"/>
  <c r="M19" i="45"/>
  <c r="M17" i="45"/>
  <c r="M15" i="45"/>
  <c r="M13" i="45"/>
  <c r="M11" i="45"/>
  <c r="M9" i="45"/>
  <c r="M7" i="45"/>
  <c r="M34" i="45"/>
  <c r="M32" i="45"/>
  <c r="M30" i="45"/>
  <c r="M28" i="45"/>
  <c r="M26" i="45"/>
  <c r="M24" i="45"/>
  <c r="M22" i="45"/>
  <c r="M20" i="45"/>
  <c r="M18" i="45"/>
  <c r="M16" i="45"/>
  <c r="M14" i="45"/>
  <c r="M12" i="45"/>
  <c r="M10" i="45"/>
  <c r="M8" i="45"/>
  <c r="Q41" i="45"/>
  <c r="Q39" i="45"/>
  <c r="Q37" i="45"/>
  <c r="Q40" i="45"/>
  <c r="Q38" i="45"/>
  <c r="Q36" i="45"/>
  <c r="Q35" i="45"/>
  <c r="Q33" i="45"/>
  <c r="Q31" i="45"/>
  <c r="Q29" i="45"/>
  <c r="Q27" i="45"/>
  <c r="Q25" i="45"/>
  <c r="Q23" i="45"/>
  <c r="Q21" i="45"/>
  <c r="Q19" i="45"/>
  <c r="Q17" i="45"/>
  <c r="Q15" i="45"/>
  <c r="Q13" i="45"/>
  <c r="Q11" i="45"/>
  <c r="Q9" i="45"/>
  <c r="Q7" i="45"/>
  <c r="Q34" i="45"/>
  <c r="Q32" i="45"/>
  <c r="Q30" i="45"/>
  <c r="Q28" i="45"/>
  <c r="Q26" i="45"/>
  <c r="Q24" i="45"/>
  <c r="Q22" i="45"/>
  <c r="Q20" i="45"/>
  <c r="Q18" i="45"/>
  <c r="Q16" i="45"/>
  <c r="Q14" i="45"/>
  <c r="Q12" i="45"/>
  <c r="Q10" i="45"/>
  <c r="Q8" i="45"/>
  <c r="U41" i="45"/>
  <c r="U39" i="45"/>
  <c r="U37" i="45"/>
  <c r="U40" i="45"/>
  <c r="U38" i="45"/>
  <c r="U36" i="45"/>
  <c r="U35" i="45"/>
  <c r="U33" i="45"/>
  <c r="U31" i="45"/>
  <c r="U29" i="45"/>
  <c r="U27" i="45"/>
  <c r="U25" i="45"/>
  <c r="U23" i="45"/>
  <c r="U21" i="45"/>
  <c r="U19" i="45"/>
  <c r="U17" i="45"/>
  <c r="U15" i="45"/>
  <c r="U13" i="45"/>
  <c r="U11" i="45"/>
  <c r="U9" i="45"/>
  <c r="U7" i="45"/>
  <c r="U34" i="45"/>
  <c r="U32" i="45"/>
  <c r="U30" i="45"/>
  <c r="U28" i="45"/>
  <c r="U26" i="45"/>
  <c r="U24" i="45"/>
  <c r="U22" i="45"/>
  <c r="U20" i="45"/>
  <c r="U18" i="45"/>
  <c r="U16" i="45"/>
  <c r="U14" i="45"/>
  <c r="U12" i="45"/>
  <c r="U10" i="45"/>
  <c r="U8" i="45"/>
  <c r="G43" i="46"/>
  <c r="G39" i="46"/>
  <c r="G35" i="46"/>
  <c r="G31" i="46"/>
  <c r="G26" i="46"/>
  <c r="G22" i="46"/>
  <c r="G18" i="46"/>
  <c r="G14" i="46"/>
  <c r="G10" i="46"/>
  <c r="G41" i="46"/>
  <c r="G37" i="46"/>
  <c r="G33" i="46"/>
  <c r="G28" i="46"/>
  <c r="G24" i="46"/>
  <c r="G20" i="46"/>
  <c r="G16" i="46"/>
  <c r="G12" i="46"/>
  <c r="G8" i="46"/>
  <c r="G7" i="46"/>
  <c r="G11" i="46"/>
  <c r="G15" i="46"/>
  <c r="G19" i="46"/>
  <c r="G23" i="46"/>
  <c r="G27" i="46"/>
  <c r="G30" i="46"/>
  <c r="G34" i="46"/>
  <c r="G38" i="46"/>
  <c r="G42" i="46"/>
  <c r="G9" i="46"/>
  <c r="G13" i="46"/>
  <c r="G17" i="46"/>
  <c r="G21" i="46"/>
  <c r="G25" i="46"/>
  <c r="G29" i="46"/>
  <c r="G32" i="46"/>
  <c r="G36" i="46"/>
  <c r="G40" i="46"/>
  <c r="K42" i="46"/>
  <c r="K38" i="46"/>
  <c r="K41" i="46"/>
  <c r="K37" i="46"/>
  <c r="K33" i="46"/>
  <c r="K29" i="46"/>
  <c r="K25" i="46"/>
  <c r="K21" i="46"/>
  <c r="K17" i="46"/>
  <c r="K13" i="46"/>
  <c r="K9" i="46"/>
  <c r="K32" i="46"/>
  <c r="K26" i="46"/>
  <c r="K14" i="46"/>
  <c r="K34" i="46"/>
  <c r="K24" i="46"/>
  <c r="K18" i="46"/>
  <c r="K12" i="46"/>
  <c r="K40" i="46"/>
  <c r="K43" i="46"/>
  <c r="K39" i="46"/>
  <c r="K35" i="46"/>
  <c r="K31" i="46"/>
  <c r="K27" i="46"/>
  <c r="K23" i="46"/>
  <c r="K19" i="46"/>
  <c r="K15" i="46"/>
  <c r="K11" i="46"/>
  <c r="K7" i="46"/>
  <c r="K28" i="46"/>
  <c r="K22" i="46"/>
  <c r="K36" i="46"/>
  <c r="K30" i="46"/>
  <c r="K20" i="46"/>
  <c r="K16" i="46"/>
  <c r="K10" i="46"/>
  <c r="K8" i="46"/>
  <c r="O42" i="46"/>
  <c r="O38" i="46"/>
  <c r="O41" i="46"/>
  <c r="O37" i="46"/>
  <c r="O33" i="46"/>
  <c r="O29" i="46"/>
  <c r="O25" i="46"/>
  <c r="O21" i="46"/>
  <c r="O17" i="46"/>
  <c r="O13" i="46"/>
  <c r="O9" i="46"/>
  <c r="O36" i="46"/>
  <c r="O32" i="46"/>
  <c r="O26" i="46"/>
  <c r="O14" i="46"/>
  <c r="O24" i="46"/>
  <c r="O18" i="46"/>
  <c r="O12" i="46"/>
  <c r="O40" i="46"/>
  <c r="O43" i="46"/>
  <c r="O39" i="46"/>
  <c r="O35" i="46"/>
  <c r="O31" i="46"/>
  <c r="O27" i="46"/>
  <c r="O23" i="46"/>
  <c r="O19" i="46"/>
  <c r="O15" i="46"/>
  <c r="O11" i="46"/>
  <c r="O7" i="46"/>
  <c r="O34" i="46"/>
  <c r="O28" i="46"/>
  <c r="O22" i="46"/>
  <c r="O30" i="46"/>
  <c r="O20" i="46"/>
  <c r="O16" i="46"/>
  <c r="O8" i="46"/>
  <c r="O10" i="46"/>
  <c r="S42" i="46"/>
  <c r="S38" i="46"/>
  <c r="S41" i="46"/>
  <c r="S37" i="46"/>
  <c r="S33" i="46"/>
  <c r="S29" i="46"/>
  <c r="S25" i="46"/>
  <c r="S21" i="46"/>
  <c r="S17" i="46"/>
  <c r="S13" i="46"/>
  <c r="S9" i="46"/>
  <c r="S32" i="46"/>
  <c r="S26" i="46"/>
  <c r="S16" i="46"/>
  <c r="S36" i="46"/>
  <c r="S30" i="46"/>
  <c r="S20" i="46"/>
  <c r="S12" i="46"/>
  <c r="S40" i="46"/>
  <c r="S43" i="46"/>
  <c r="S39" i="46"/>
  <c r="S35" i="46"/>
  <c r="S31" i="46"/>
  <c r="S27" i="46"/>
  <c r="S23" i="46"/>
  <c r="S19" i="46"/>
  <c r="S15" i="46"/>
  <c r="S11" i="46"/>
  <c r="S7" i="46"/>
  <c r="S28" i="46"/>
  <c r="S22" i="46"/>
  <c r="S14" i="46"/>
  <c r="S34" i="46"/>
  <c r="S24" i="46"/>
  <c r="S18" i="46"/>
  <c r="S10" i="46"/>
  <c r="S8" i="46"/>
  <c r="D42" i="46"/>
  <c r="D8" i="46"/>
  <c r="D16" i="46"/>
  <c r="D24" i="46"/>
  <c r="D35" i="46"/>
  <c r="D43" i="46"/>
  <c r="D10" i="46"/>
  <c r="D18" i="46"/>
  <c r="D26" i="46"/>
  <c r="D33" i="46"/>
  <c r="D41" i="46"/>
  <c r="D12" i="46"/>
  <c r="D20" i="46"/>
  <c r="D28" i="46"/>
  <c r="D31" i="46"/>
  <c r="D39" i="46"/>
  <c r="D14" i="46"/>
  <c r="D22" i="46"/>
  <c r="D37" i="46"/>
  <c r="D9" i="46"/>
  <c r="D13" i="46"/>
  <c r="D17" i="46"/>
  <c r="D21" i="46"/>
  <c r="D25" i="46"/>
  <c r="D29" i="46"/>
  <c r="D32" i="46"/>
  <c r="D7" i="46"/>
  <c r="D11" i="46"/>
  <c r="D15" i="46"/>
  <c r="D19" i="46"/>
  <c r="D23" i="46"/>
  <c r="D27" i="46"/>
  <c r="D30" i="46"/>
  <c r="D34" i="46"/>
  <c r="D36" i="46"/>
  <c r="D40" i="46"/>
  <c r="D38" i="46"/>
  <c r="V2" i="46"/>
  <c r="H42" i="46"/>
  <c r="H12" i="46"/>
  <c r="H20" i="46"/>
  <c r="H28" i="46"/>
  <c r="H31" i="46"/>
  <c r="H39" i="46"/>
  <c r="H14" i="46"/>
  <c r="H22" i="46"/>
  <c r="H37" i="46"/>
  <c r="H8" i="46"/>
  <c r="H16" i="46"/>
  <c r="H24" i="46"/>
  <c r="H35" i="46"/>
  <c r="H43" i="46"/>
  <c r="H10" i="46"/>
  <c r="H18" i="46"/>
  <c r="H26" i="46"/>
  <c r="H33" i="46"/>
  <c r="H41" i="46"/>
  <c r="H9" i="46"/>
  <c r="H13" i="46"/>
  <c r="H17" i="46"/>
  <c r="H21" i="46"/>
  <c r="H25" i="46"/>
  <c r="H29" i="46"/>
  <c r="H32" i="46"/>
  <c r="H7" i="46"/>
  <c r="H11" i="46"/>
  <c r="H15" i="46"/>
  <c r="H19" i="46"/>
  <c r="H23" i="46"/>
  <c r="H27" i="46"/>
  <c r="H30" i="46"/>
  <c r="H36" i="46"/>
  <c r="H40" i="46"/>
  <c r="H34" i="46"/>
  <c r="H38" i="46"/>
  <c r="L37" i="46"/>
  <c r="L7" i="46"/>
  <c r="L11" i="46"/>
  <c r="L15" i="46"/>
  <c r="L19" i="46"/>
  <c r="L23" i="46"/>
  <c r="L27" i="46"/>
  <c r="L31" i="46"/>
  <c r="L35" i="46"/>
  <c r="L9" i="46"/>
  <c r="L13" i="46"/>
  <c r="L17" i="46"/>
  <c r="L21" i="46"/>
  <c r="L25" i="46"/>
  <c r="L29" i="46"/>
  <c r="L33" i="46"/>
  <c r="L43" i="46"/>
  <c r="L39" i="46"/>
  <c r="L40" i="46"/>
  <c r="L41" i="46"/>
  <c r="L42" i="46"/>
  <c r="L38" i="46"/>
  <c r="L8" i="46"/>
  <c r="L10" i="46"/>
  <c r="L12" i="46"/>
  <c r="L14" i="46"/>
  <c r="L16" i="46"/>
  <c r="L18" i="46"/>
  <c r="L20" i="46"/>
  <c r="L22" i="46"/>
  <c r="L24" i="46"/>
  <c r="L26" i="46"/>
  <c r="L28" i="46"/>
  <c r="L30" i="46"/>
  <c r="L32" i="46"/>
  <c r="L34" i="46"/>
  <c r="L36" i="46"/>
  <c r="P35" i="46"/>
  <c r="P9" i="46"/>
  <c r="P13" i="46"/>
  <c r="P17" i="46"/>
  <c r="P21" i="46"/>
  <c r="P25" i="46"/>
  <c r="P29" i="46"/>
  <c r="P33" i="46"/>
  <c r="P7" i="46"/>
  <c r="P11" i="46"/>
  <c r="P15" i="46"/>
  <c r="P19" i="46"/>
  <c r="P23" i="46"/>
  <c r="P27" i="46"/>
  <c r="P31" i="46"/>
  <c r="P41" i="46"/>
  <c r="P37" i="46"/>
  <c r="P40" i="46"/>
  <c r="P43" i="46"/>
  <c r="P39" i="46"/>
  <c r="P42" i="46"/>
  <c r="P38" i="46"/>
  <c r="P8" i="46"/>
  <c r="P10" i="46"/>
  <c r="P12" i="46"/>
  <c r="P14" i="46"/>
  <c r="P16" i="46"/>
  <c r="P18" i="46"/>
  <c r="P20" i="46"/>
  <c r="P22" i="46"/>
  <c r="P24" i="46"/>
  <c r="P26" i="46"/>
  <c r="P28" i="46"/>
  <c r="P30" i="46"/>
  <c r="P32" i="46"/>
  <c r="P34" i="46"/>
  <c r="P36" i="46"/>
  <c r="D39" i="20"/>
  <c r="E39" i="20" s="1"/>
  <c r="D38" i="20"/>
  <c r="E38" i="20" s="1"/>
  <c r="D37" i="20"/>
  <c r="E37" i="20" s="1"/>
  <c r="E37" i="23"/>
  <c r="G37" i="23"/>
  <c r="I37" i="23"/>
  <c r="K37" i="23"/>
  <c r="M37" i="23"/>
  <c r="D35" i="20"/>
  <c r="E35" i="20" s="1"/>
  <c r="E35" i="23"/>
  <c r="G35" i="23"/>
  <c r="I35" i="23"/>
  <c r="K35" i="23"/>
  <c r="M35" i="23"/>
  <c r="D33" i="20"/>
  <c r="E33" i="20" s="1"/>
  <c r="E33" i="23"/>
  <c r="G33" i="23"/>
  <c r="I33" i="23"/>
  <c r="K33" i="23"/>
  <c r="M33" i="23"/>
  <c r="E32" i="23"/>
  <c r="G32" i="23"/>
  <c r="I32" i="23"/>
  <c r="K32" i="23"/>
  <c r="M32" i="23"/>
  <c r="D32" i="20"/>
  <c r="E32" i="20" s="1"/>
  <c r="D31" i="20"/>
  <c r="E31" i="20" s="1"/>
  <c r="E31" i="23"/>
  <c r="G31" i="23"/>
  <c r="I31" i="23"/>
  <c r="K31" i="23"/>
  <c r="M31" i="23"/>
  <c r="E30" i="23"/>
  <c r="G30" i="23"/>
  <c r="I30" i="23"/>
  <c r="K30" i="23"/>
  <c r="M30" i="23"/>
  <c r="D30" i="20"/>
  <c r="E30" i="20" s="1"/>
  <c r="D42" i="20"/>
  <c r="E42" i="20" s="1"/>
  <c r="D41" i="20"/>
  <c r="E41" i="20" s="1"/>
  <c r="D40" i="20"/>
  <c r="E40" i="20" s="1"/>
  <c r="E36" i="23"/>
  <c r="G36" i="23"/>
  <c r="I36" i="23"/>
  <c r="K36" i="23"/>
  <c r="M36" i="23"/>
  <c r="D36" i="20"/>
  <c r="E36" i="20" s="1"/>
  <c r="E34" i="23"/>
  <c r="G34" i="23"/>
  <c r="I34" i="23"/>
  <c r="K34" i="23"/>
  <c r="M34" i="23"/>
  <c r="D34" i="20"/>
  <c r="E34" i="20" s="1"/>
  <c r="D29" i="20"/>
  <c r="E29" i="20" s="1"/>
  <c r="E29" i="23"/>
  <c r="G29" i="23"/>
  <c r="I29" i="23"/>
  <c r="K29" i="23"/>
  <c r="M29" i="23"/>
  <c r="D28" i="20"/>
  <c r="E28" i="23"/>
  <c r="G28" i="23"/>
  <c r="I28" i="23"/>
  <c r="K28" i="23"/>
  <c r="M28" i="23"/>
  <c r="E27" i="23"/>
  <c r="G27" i="23"/>
  <c r="I27" i="23"/>
  <c r="K27" i="23"/>
  <c r="M27" i="23"/>
  <c r="D27" i="20"/>
  <c r="D26" i="20"/>
  <c r="E26" i="23"/>
  <c r="G26" i="23"/>
  <c r="I26" i="23"/>
  <c r="K26" i="23"/>
  <c r="M26" i="23"/>
  <c r="D24" i="20"/>
  <c r="E24" i="20" s="1"/>
  <c r="M24" i="23"/>
  <c r="E24" i="23"/>
  <c r="K24" i="23"/>
  <c r="I24" i="23"/>
  <c r="G24" i="23"/>
  <c r="D23" i="20"/>
  <c r="E23" i="20" s="1"/>
  <c r="G23" i="23"/>
  <c r="M23" i="23"/>
  <c r="E23" i="23"/>
  <c r="K23" i="23"/>
  <c r="I23" i="23"/>
  <c r="D22" i="20"/>
  <c r="E22" i="20" s="1"/>
  <c r="I22" i="23"/>
  <c r="G22" i="23"/>
  <c r="M22" i="23"/>
  <c r="E22" i="23"/>
  <c r="K22" i="23"/>
  <c r="D21" i="20"/>
  <c r="K21" i="23"/>
  <c r="I21" i="23"/>
  <c r="G21" i="23"/>
  <c r="M21" i="23"/>
  <c r="E21" i="23"/>
  <c r="D20" i="20"/>
  <c r="E20" i="20" s="1"/>
  <c r="M20" i="23"/>
  <c r="E20" i="23"/>
  <c r="K20" i="23"/>
  <c r="I20" i="23"/>
  <c r="G20" i="23"/>
  <c r="D19" i="20"/>
  <c r="E19" i="20" s="1"/>
  <c r="G19" i="23"/>
  <c r="M19" i="23"/>
  <c r="E19" i="23"/>
  <c r="K19" i="23"/>
  <c r="I19" i="23"/>
  <c r="D18" i="20"/>
  <c r="E18" i="20" s="1"/>
  <c r="I18" i="23"/>
  <c r="G18" i="23"/>
  <c r="M18" i="23"/>
  <c r="E18" i="23"/>
  <c r="K18" i="23"/>
  <c r="D17" i="20"/>
  <c r="E17" i="20" s="1"/>
  <c r="K17" i="23"/>
  <c r="I17" i="23"/>
  <c r="G17" i="23"/>
  <c r="M17" i="23"/>
  <c r="E17" i="23"/>
  <c r="D16" i="20"/>
  <c r="E16" i="20" s="1"/>
  <c r="M16" i="23"/>
  <c r="E16" i="23"/>
  <c r="K16" i="23"/>
  <c r="I16" i="23"/>
  <c r="G16" i="23"/>
  <c r="D15" i="20"/>
  <c r="E15" i="20" s="1"/>
  <c r="G15" i="23"/>
  <c r="M15" i="23"/>
  <c r="E15" i="23"/>
  <c r="K15" i="23"/>
  <c r="I15" i="23"/>
  <c r="D14" i="20"/>
  <c r="E14" i="20" s="1"/>
  <c r="I14" i="23"/>
  <c r="G14" i="23"/>
  <c r="M14" i="23"/>
  <c r="E14" i="23"/>
  <c r="K14" i="23"/>
  <c r="D13" i="20"/>
  <c r="E13" i="20" s="1"/>
  <c r="K13" i="23"/>
  <c r="I13" i="23"/>
  <c r="G13" i="23"/>
  <c r="M13" i="23"/>
  <c r="E13" i="23"/>
  <c r="D12" i="20"/>
  <c r="E12" i="20" s="1"/>
  <c r="M12" i="23"/>
  <c r="E12" i="23"/>
  <c r="K12" i="23"/>
  <c r="I12" i="23"/>
  <c r="G12" i="23"/>
  <c r="D11" i="20"/>
  <c r="E11" i="20" s="1"/>
  <c r="G11" i="23"/>
  <c r="M11" i="23"/>
  <c r="E11" i="23"/>
  <c r="K11" i="23"/>
  <c r="I11" i="23"/>
  <c r="D10" i="20"/>
  <c r="E10" i="20" s="1"/>
  <c r="I10" i="23"/>
  <c r="G10" i="23"/>
  <c r="M10" i="23"/>
  <c r="E10" i="23"/>
  <c r="K10" i="23"/>
  <c r="D9" i="20"/>
  <c r="E9" i="20" s="1"/>
  <c r="K9" i="23"/>
  <c r="I9" i="23"/>
  <c r="G9" i="23"/>
  <c r="M9" i="23"/>
  <c r="E9" i="23"/>
  <c r="D8" i="20"/>
  <c r="E8" i="20" s="1"/>
  <c r="M8" i="23"/>
  <c r="E8" i="23"/>
  <c r="K8" i="23"/>
  <c r="I8" i="23"/>
  <c r="G8" i="23"/>
  <c r="D7" i="20"/>
  <c r="E7" i="20" s="1"/>
  <c r="K7" i="23"/>
  <c r="I7" i="23"/>
  <c r="G7" i="23"/>
  <c r="M7" i="23"/>
  <c r="E7" i="23"/>
  <c r="E6" i="23"/>
  <c r="M6" i="23"/>
  <c r="I6" i="23"/>
  <c r="G6" i="23"/>
  <c r="K6" i="23"/>
  <c r="E34" i="8"/>
  <c r="G34" i="8"/>
  <c r="I34" i="8"/>
  <c r="K34" i="8"/>
  <c r="M34" i="8"/>
  <c r="E32" i="8"/>
  <c r="G32" i="8"/>
  <c r="I32" i="8"/>
  <c r="K32" i="8"/>
  <c r="M32" i="8"/>
  <c r="E31" i="8"/>
  <c r="G31" i="8"/>
  <c r="I31" i="8"/>
  <c r="K31" i="8"/>
  <c r="M31" i="8"/>
  <c r="E30" i="8"/>
  <c r="G30" i="8"/>
  <c r="I30" i="8"/>
  <c r="K30" i="8"/>
  <c r="M30" i="8"/>
  <c r="E26" i="8"/>
  <c r="G26" i="8"/>
  <c r="I26" i="8"/>
  <c r="K26" i="8"/>
  <c r="M26" i="8"/>
  <c r="E25" i="8"/>
  <c r="G25" i="8"/>
  <c r="I25" i="8"/>
  <c r="K25" i="8"/>
  <c r="M25" i="8"/>
  <c r="E24" i="8"/>
  <c r="G24" i="8"/>
  <c r="I24" i="8"/>
  <c r="K24" i="8"/>
  <c r="M24" i="8"/>
  <c r="E23" i="8"/>
  <c r="G23" i="8"/>
  <c r="I23" i="8"/>
  <c r="K23" i="8"/>
  <c r="M23" i="8"/>
  <c r="E22" i="8"/>
  <c r="G22" i="8"/>
  <c r="I22" i="8"/>
  <c r="K22" i="8"/>
  <c r="M22" i="8"/>
  <c r="E21" i="8"/>
  <c r="G21" i="8"/>
  <c r="I21" i="8"/>
  <c r="K21" i="8"/>
  <c r="M21" i="8"/>
  <c r="E20" i="8"/>
  <c r="G20" i="8"/>
  <c r="I20" i="8"/>
  <c r="K20" i="8"/>
  <c r="M20" i="8"/>
  <c r="E19" i="8"/>
  <c r="G19" i="8"/>
  <c r="I19" i="8"/>
  <c r="K19" i="8"/>
  <c r="M19" i="8"/>
  <c r="E18" i="8"/>
  <c r="G18" i="8"/>
  <c r="I18" i="8"/>
  <c r="K18" i="8"/>
  <c r="M18" i="8"/>
  <c r="E17" i="8"/>
  <c r="G17" i="8"/>
  <c r="I17" i="8"/>
  <c r="K17" i="8"/>
  <c r="M17" i="8"/>
  <c r="E16" i="8"/>
  <c r="G16" i="8"/>
  <c r="I16" i="8"/>
  <c r="K16" i="8"/>
  <c r="M16" i="8"/>
  <c r="E15" i="8"/>
  <c r="G15" i="8"/>
  <c r="I15" i="8"/>
  <c r="K15" i="8"/>
  <c r="M15" i="8"/>
  <c r="E14" i="8"/>
  <c r="G14" i="8"/>
  <c r="I14" i="8"/>
  <c r="K14" i="8"/>
  <c r="M14" i="8"/>
  <c r="E13" i="8"/>
  <c r="G13" i="8"/>
  <c r="I13" i="8"/>
  <c r="K13" i="8"/>
  <c r="M13" i="8"/>
  <c r="E12" i="8"/>
  <c r="G12" i="8"/>
  <c r="I12" i="8"/>
  <c r="K12" i="8"/>
  <c r="M12" i="8"/>
  <c r="E11" i="8"/>
  <c r="G11" i="8"/>
  <c r="I11" i="8"/>
  <c r="K11" i="8"/>
  <c r="M11" i="8"/>
  <c r="E10" i="8"/>
  <c r="G10" i="8"/>
  <c r="I10" i="8"/>
  <c r="K10" i="8"/>
  <c r="M10" i="8"/>
  <c r="E9" i="8"/>
  <c r="G9" i="8"/>
  <c r="I9" i="8"/>
  <c r="K9" i="8"/>
  <c r="M9" i="8"/>
  <c r="E8" i="8"/>
  <c r="G8" i="8"/>
  <c r="I8" i="8"/>
  <c r="K8" i="8"/>
  <c r="M8" i="8"/>
  <c r="K7" i="8"/>
  <c r="E7" i="8"/>
  <c r="G7" i="8"/>
  <c r="I7" i="8"/>
  <c r="M7" i="8"/>
  <c r="K6" i="8"/>
  <c r="G6" i="8"/>
  <c r="E35" i="8"/>
  <c r="G35" i="8"/>
  <c r="I35" i="8"/>
  <c r="K35" i="8"/>
  <c r="M35" i="8"/>
  <c r="E33" i="8"/>
  <c r="G33" i="8"/>
  <c r="I33" i="8"/>
  <c r="K33" i="8"/>
  <c r="M33" i="8"/>
  <c r="E29" i="8"/>
  <c r="G29" i="8"/>
  <c r="I29" i="8"/>
  <c r="K29" i="8"/>
  <c r="M29" i="8"/>
  <c r="E28" i="8"/>
  <c r="G28" i="8"/>
  <c r="I28" i="8"/>
  <c r="K28" i="8"/>
  <c r="M28" i="8"/>
  <c r="E27" i="8"/>
  <c r="G27" i="8"/>
  <c r="I27" i="8"/>
  <c r="K27" i="8"/>
  <c r="M27" i="8"/>
  <c r="M6" i="8"/>
  <c r="I6" i="8"/>
  <c r="E6" i="8"/>
  <c r="E25" i="20"/>
  <c r="E27" i="19" s="1"/>
  <c r="E21" i="20"/>
  <c r="AL50" i="20"/>
  <c r="G50" i="20" s="1"/>
  <c r="AL48" i="20"/>
  <c r="G48" i="20" s="1"/>
  <c r="AL46" i="20"/>
  <c r="G46" i="20" s="1"/>
  <c r="G50" i="19" s="1"/>
  <c r="AL44" i="20"/>
  <c r="G44" i="20" s="1"/>
  <c r="AL41" i="20"/>
  <c r="G41" i="20" s="1"/>
  <c r="AL39" i="20"/>
  <c r="G39" i="20" s="1"/>
  <c r="AL37" i="20"/>
  <c r="G37" i="20" s="1"/>
  <c r="AL35" i="20"/>
  <c r="G35" i="20" s="1"/>
  <c r="AL33" i="20"/>
  <c r="G33" i="20" s="1"/>
  <c r="AL31" i="20"/>
  <c r="G31" i="20" s="1"/>
  <c r="AL29" i="20"/>
  <c r="G29" i="20" s="1"/>
  <c r="AL27" i="20"/>
  <c r="G27" i="20" s="1"/>
  <c r="G29" i="19" s="1"/>
  <c r="AL25" i="20"/>
  <c r="G25" i="20" s="1"/>
  <c r="G27" i="19" s="1"/>
  <c r="AL23" i="20"/>
  <c r="G23" i="20" s="1"/>
  <c r="AL21" i="20"/>
  <c r="G21" i="20" s="1"/>
  <c r="AL19" i="20"/>
  <c r="G19" i="20" s="1"/>
  <c r="AL17" i="20"/>
  <c r="G17" i="20" s="1"/>
  <c r="AL15" i="20"/>
  <c r="G15" i="20" s="1"/>
  <c r="AL13" i="20"/>
  <c r="G13" i="20" s="1"/>
  <c r="AL11" i="20"/>
  <c r="G11" i="20" s="1"/>
  <c r="AL9" i="20"/>
  <c r="G9" i="20" s="1"/>
  <c r="AL7" i="20"/>
  <c r="G7" i="20" s="1"/>
  <c r="AL51" i="20"/>
  <c r="G51" i="20" s="1"/>
  <c r="AL49" i="20"/>
  <c r="G49" i="20" s="1"/>
  <c r="G53" i="19" s="1"/>
  <c r="AL47" i="20"/>
  <c r="G47" i="20" s="1"/>
  <c r="AL45" i="20"/>
  <c r="G45" i="20" s="1"/>
  <c r="AL42" i="20"/>
  <c r="G42" i="20" s="1"/>
  <c r="AL40" i="20"/>
  <c r="G40" i="20" s="1"/>
  <c r="AL38" i="20"/>
  <c r="G38" i="20" s="1"/>
  <c r="AL36" i="20"/>
  <c r="G36" i="20" s="1"/>
  <c r="AL34" i="20"/>
  <c r="G34" i="20" s="1"/>
  <c r="AL32" i="20"/>
  <c r="G32" i="20" s="1"/>
  <c r="AL30" i="20"/>
  <c r="G30" i="20" s="1"/>
  <c r="AL28" i="20"/>
  <c r="G28" i="20" s="1"/>
  <c r="G30" i="19" s="1"/>
  <c r="AL26" i="20"/>
  <c r="G26" i="20" s="1"/>
  <c r="G28" i="19" s="1"/>
  <c r="AL24" i="20"/>
  <c r="G24" i="20" s="1"/>
  <c r="AL22" i="20"/>
  <c r="G22" i="20" s="1"/>
  <c r="AL20" i="20"/>
  <c r="G20" i="20" s="1"/>
  <c r="AL18" i="20"/>
  <c r="G18" i="20" s="1"/>
  <c r="AL16" i="20"/>
  <c r="G16" i="20" s="1"/>
  <c r="AL14" i="20"/>
  <c r="G14" i="20" s="1"/>
  <c r="AL12" i="20"/>
  <c r="G12" i="20" s="1"/>
  <c r="AL10" i="20"/>
  <c r="G10" i="20" s="1"/>
  <c r="AL8" i="20"/>
  <c r="G8" i="20" s="1"/>
  <c r="AL6" i="20"/>
  <c r="G6" i="20" s="1"/>
  <c r="D6" i="20"/>
  <c r="E6" i="20" s="1"/>
  <c r="V7" i="12"/>
  <c r="V6" i="12"/>
  <c r="V7" i="11"/>
  <c r="V6" i="11"/>
  <c r="V6" i="9"/>
  <c r="R7" i="20"/>
  <c r="F7" i="20" s="1"/>
  <c r="R8" i="20"/>
  <c r="F8" i="20" s="1"/>
  <c r="R12" i="20"/>
  <c r="F12" i="20" s="1"/>
  <c r="R16" i="20"/>
  <c r="F16" i="20" s="1"/>
  <c r="R20" i="20"/>
  <c r="F20" i="20" s="1"/>
  <c r="R9" i="20"/>
  <c r="F9" i="20" s="1"/>
  <c r="R13" i="20"/>
  <c r="F13" i="20" s="1"/>
  <c r="R17" i="20"/>
  <c r="F17" i="20" s="1"/>
  <c r="R21" i="20"/>
  <c r="F21" i="20" s="1"/>
  <c r="R25" i="20"/>
  <c r="F25" i="20" s="1"/>
  <c r="F27" i="19" s="1"/>
  <c r="R31" i="20"/>
  <c r="F31" i="20" s="1"/>
  <c r="R35" i="20"/>
  <c r="F35" i="20" s="1"/>
  <c r="R26" i="20"/>
  <c r="F26" i="20" s="1"/>
  <c r="F28" i="19" s="1"/>
  <c r="R32" i="20"/>
  <c r="F32" i="20" s="1"/>
  <c r="R36" i="20"/>
  <c r="F36" i="20" s="1"/>
  <c r="R40" i="20"/>
  <c r="F40" i="20" s="1"/>
  <c r="R37" i="20"/>
  <c r="F37" i="20" s="1"/>
  <c r="R41" i="20"/>
  <c r="F41" i="20" s="1"/>
  <c r="R46" i="20"/>
  <c r="F46" i="20" s="1"/>
  <c r="F50" i="19" s="1"/>
  <c r="R49" i="20"/>
  <c r="F49" i="20" s="1"/>
  <c r="F53" i="19" s="1"/>
  <c r="R45" i="20"/>
  <c r="F45" i="20" s="1"/>
  <c r="R6" i="20"/>
  <c r="F6" i="20" s="1"/>
  <c r="R10" i="20"/>
  <c r="F10" i="20" s="1"/>
  <c r="R14" i="20"/>
  <c r="F14" i="20" s="1"/>
  <c r="R18" i="20"/>
  <c r="F18" i="20" s="1"/>
  <c r="R22" i="20"/>
  <c r="F22" i="20" s="1"/>
  <c r="R11" i="20"/>
  <c r="F11" i="20" s="1"/>
  <c r="R15" i="20"/>
  <c r="F15" i="20" s="1"/>
  <c r="R19" i="20"/>
  <c r="F19" i="20" s="1"/>
  <c r="R23" i="20"/>
  <c r="F23" i="20" s="1"/>
  <c r="R27" i="20"/>
  <c r="F27" i="20" s="1"/>
  <c r="F29" i="19" s="1"/>
  <c r="R29" i="20"/>
  <c r="F29" i="20" s="1"/>
  <c r="R33" i="20"/>
  <c r="F33" i="20" s="1"/>
  <c r="R24" i="20"/>
  <c r="F24" i="20" s="1"/>
  <c r="R28" i="20"/>
  <c r="F28" i="20" s="1"/>
  <c r="F30" i="19" s="1"/>
  <c r="R30" i="20"/>
  <c r="F30" i="20" s="1"/>
  <c r="R34" i="20"/>
  <c r="F34" i="20" s="1"/>
  <c r="R38" i="20"/>
  <c r="F38" i="20" s="1"/>
  <c r="R42" i="20"/>
  <c r="F42" i="20" s="1"/>
  <c r="R39" i="20"/>
  <c r="F39" i="20" s="1"/>
  <c r="R44" i="20"/>
  <c r="F44" i="20" s="1"/>
  <c r="R48" i="20"/>
  <c r="F48" i="20" s="1"/>
  <c r="R51" i="20"/>
  <c r="F51" i="20" s="1"/>
  <c r="R47" i="20"/>
  <c r="F47" i="20" s="1"/>
  <c r="R50" i="20"/>
  <c r="F50" i="20" s="1"/>
  <c r="E11" i="19" l="1"/>
  <c r="E45" i="19"/>
  <c r="E10" i="19"/>
  <c r="E24" i="19"/>
  <c r="E43" i="19"/>
  <c r="E25" i="19"/>
  <c r="E22" i="19"/>
  <c r="E16" i="19"/>
  <c r="E17" i="19"/>
  <c r="E41" i="19"/>
  <c r="E40" i="19"/>
  <c r="E49" i="19"/>
  <c r="E37" i="19"/>
  <c r="E20" i="19"/>
  <c r="E21" i="19"/>
  <c r="E9" i="19"/>
  <c r="E14" i="19"/>
  <c r="E46" i="19"/>
  <c r="E36" i="19"/>
  <c r="E8" i="19"/>
  <c r="E15" i="19"/>
  <c r="E12" i="19"/>
  <c r="E13" i="19"/>
  <c r="E23" i="19"/>
  <c r="E26" i="19"/>
  <c r="E54" i="19"/>
  <c r="E55" i="19"/>
  <c r="E44" i="19"/>
  <c r="E39" i="19"/>
  <c r="E35" i="19"/>
  <c r="E48" i="19"/>
  <c r="E18" i="19"/>
  <c r="E19" i="19"/>
  <c r="E33" i="19"/>
  <c r="E51" i="19"/>
  <c r="E52" i="19"/>
  <c r="E42" i="19"/>
  <c r="E38" i="19"/>
  <c r="AL38" i="19"/>
  <c r="G38" i="19" s="1"/>
  <c r="AL34" i="19"/>
  <c r="G34" i="19" s="1"/>
  <c r="AL24" i="19"/>
  <c r="G24" i="19" s="1"/>
  <c r="AL20" i="19"/>
  <c r="G20" i="19" s="1"/>
  <c r="AL16" i="19"/>
  <c r="G16" i="19" s="1"/>
  <c r="AL12" i="19"/>
  <c r="G12" i="19" s="1"/>
  <c r="AL36" i="19"/>
  <c r="G36" i="19" s="1"/>
  <c r="AL26" i="19"/>
  <c r="G26" i="19" s="1"/>
  <c r="AL22" i="19"/>
  <c r="G22" i="19" s="1"/>
  <c r="AL18" i="19"/>
  <c r="G18" i="19" s="1"/>
  <c r="AL14" i="19"/>
  <c r="G14" i="19" s="1"/>
  <c r="AL10" i="19"/>
  <c r="G10" i="19" s="1"/>
  <c r="AL25" i="19"/>
  <c r="G25" i="19" s="1"/>
  <c r="AL21" i="19"/>
  <c r="G21" i="19" s="1"/>
  <c r="AL9" i="19"/>
  <c r="G9" i="19" s="1"/>
  <c r="R8" i="19"/>
  <c r="F8" i="19" s="1"/>
  <c r="AL48" i="19"/>
  <c r="G48" i="19" s="1"/>
  <c r="AL39" i="19"/>
  <c r="G39" i="19" s="1"/>
  <c r="AL35" i="19"/>
  <c r="G35" i="19" s="1"/>
  <c r="AL17" i="19"/>
  <c r="G17" i="19" s="1"/>
  <c r="AL13" i="19"/>
  <c r="G13" i="19" s="1"/>
  <c r="AL41" i="19"/>
  <c r="G41" i="19" s="1"/>
  <c r="AL8" i="19"/>
  <c r="G8" i="19" s="1"/>
  <c r="AL37" i="19"/>
  <c r="G37" i="19" s="1"/>
  <c r="AL33" i="19"/>
  <c r="G33" i="19" s="1"/>
  <c r="AL23" i="19"/>
  <c r="G23" i="19" s="1"/>
  <c r="AL19" i="19"/>
  <c r="G19" i="19" s="1"/>
  <c r="AL15" i="19"/>
  <c r="G15" i="19" s="1"/>
  <c r="AL11" i="19"/>
  <c r="G11" i="19" s="1"/>
  <c r="AL45" i="19"/>
  <c r="G45" i="19" s="1"/>
  <c r="AL43" i="19"/>
  <c r="G43" i="19" s="1"/>
  <c r="AL54" i="19"/>
  <c r="G54" i="19" s="1"/>
  <c r="AL51" i="19"/>
  <c r="G51" i="19" s="1"/>
  <c r="AL46" i="19"/>
  <c r="G46" i="19" s="1"/>
  <c r="AL44" i="19"/>
  <c r="G44" i="19" s="1"/>
  <c r="AL42" i="19"/>
  <c r="G42" i="19" s="1"/>
  <c r="AL40" i="19"/>
  <c r="G40" i="19" s="1"/>
  <c r="AL55" i="19"/>
  <c r="G55" i="19" s="1"/>
  <c r="AL52" i="19"/>
  <c r="G52" i="19" s="1"/>
  <c r="AL49" i="19"/>
  <c r="G49" i="19" s="1"/>
  <c r="E26" i="20"/>
  <c r="E28" i="19" s="1"/>
  <c r="D28" i="19"/>
  <c r="E27" i="20"/>
  <c r="E29" i="19" s="1"/>
  <c r="D29" i="19"/>
  <c r="E28" i="20"/>
  <c r="E30" i="19" s="1"/>
  <c r="D30" i="19"/>
  <c r="E50" i="19"/>
  <c r="D50" i="19"/>
  <c r="E53" i="19"/>
  <c r="D53" i="19"/>
  <c r="R55" i="19"/>
  <c r="F55" i="19" s="1"/>
  <c r="R51" i="19"/>
  <c r="F51" i="19" s="1"/>
  <c r="R46" i="19"/>
  <c r="F46" i="19" s="1"/>
  <c r="R44" i="19"/>
  <c r="F44" i="19" s="1"/>
  <c r="R42" i="19"/>
  <c r="F42" i="19" s="1"/>
  <c r="R40" i="19"/>
  <c r="F40" i="19" s="1"/>
  <c r="R38" i="19"/>
  <c r="F38" i="19" s="1"/>
  <c r="R36" i="19"/>
  <c r="F36" i="19" s="1"/>
  <c r="R34" i="19"/>
  <c r="F34" i="19" s="1"/>
  <c r="R26" i="19"/>
  <c r="F26" i="19" s="1"/>
  <c r="R24" i="19"/>
  <c r="F24" i="19" s="1"/>
  <c r="R22" i="19"/>
  <c r="F22" i="19" s="1"/>
  <c r="R20" i="19"/>
  <c r="F20" i="19" s="1"/>
  <c r="R18" i="19"/>
  <c r="F18" i="19" s="1"/>
  <c r="R16" i="19"/>
  <c r="F16" i="19" s="1"/>
  <c r="R14" i="19"/>
  <c r="F14" i="19" s="1"/>
  <c r="R12" i="19"/>
  <c r="F12" i="19" s="1"/>
  <c r="R10" i="19"/>
  <c r="F10" i="19" s="1"/>
  <c r="R48" i="19"/>
  <c r="F48" i="19" s="1"/>
  <c r="R54" i="19"/>
  <c r="F54" i="19" s="1"/>
  <c r="R49" i="19"/>
  <c r="F49" i="19" s="1"/>
  <c r="R45" i="19"/>
  <c r="F45" i="19" s="1"/>
  <c r="R43" i="19"/>
  <c r="F43" i="19" s="1"/>
  <c r="R41" i="19"/>
  <c r="F41" i="19" s="1"/>
  <c r="R39" i="19"/>
  <c r="F39" i="19" s="1"/>
  <c r="R37" i="19"/>
  <c r="F37" i="19" s="1"/>
  <c r="R35" i="19"/>
  <c r="F35" i="19" s="1"/>
  <c r="R33" i="19"/>
  <c r="F33" i="19" s="1"/>
  <c r="R25" i="19"/>
  <c r="F25" i="19" s="1"/>
  <c r="R23" i="19"/>
  <c r="F23" i="19" s="1"/>
  <c r="R21" i="19"/>
  <c r="F21" i="19" s="1"/>
  <c r="R19" i="19"/>
  <c r="F19" i="19" s="1"/>
  <c r="R17" i="19"/>
  <c r="F17" i="19" s="1"/>
  <c r="R15" i="19"/>
  <c r="F15" i="19" s="1"/>
  <c r="R13" i="19"/>
  <c r="F13" i="19" s="1"/>
  <c r="R11" i="19"/>
  <c r="F11" i="19" s="1"/>
  <c r="R9" i="19"/>
  <c r="F9" i="19" s="1"/>
  <c r="R52" i="19"/>
  <c r="F52" i="19" s="1"/>
  <c r="V31" i="46"/>
  <c r="V33" i="46"/>
  <c r="V35" i="46"/>
  <c r="V37" i="46"/>
  <c r="V39" i="46"/>
  <c r="V41" i="46"/>
  <c r="V43" i="46"/>
  <c r="V8" i="46"/>
  <c r="V10" i="46"/>
  <c r="V12" i="46"/>
  <c r="V14" i="46"/>
  <c r="V16" i="46"/>
  <c r="V18" i="46"/>
  <c r="V20" i="46"/>
  <c r="V22" i="46"/>
  <c r="V24" i="46"/>
  <c r="V26" i="46"/>
  <c r="V28" i="46"/>
  <c r="V7" i="46"/>
  <c r="V32" i="46"/>
  <c r="V34" i="46"/>
  <c r="V36" i="46"/>
  <c r="V38" i="46"/>
  <c r="V40" i="46"/>
  <c r="V42" i="46"/>
  <c r="V30" i="46"/>
  <c r="V9" i="46"/>
  <c r="V11" i="46"/>
  <c r="V13" i="46"/>
  <c r="V15" i="46"/>
  <c r="V17" i="46"/>
  <c r="V19" i="46"/>
  <c r="V21" i="46"/>
  <c r="V23" i="46"/>
  <c r="V25" i="46"/>
  <c r="V27" i="46"/>
  <c r="V29" i="46"/>
  <c r="V27" i="45"/>
  <c r="V29" i="45"/>
  <c r="V31" i="45"/>
  <c r="V33" i="45"/>
  <c r="V35" i="45"/>
  <c r="V37" i="45"/>
  <c r="V39" i="45"/>
  <c r="V41" i="45"/>
  <c r="V8" i="45"/>
  <c r="V10" i="45"/>
  <c r="V12" i="45"/>
  <c r="V14" i="45"/>
  <c r="V16" i="45"/>
  <c r="V18" i="45"/>
  <c r="V20" i="45"/>
  <c r="V22" i="45"/>
  <c r="V24" i="45"/>
  <c r="V28" i="45"/>
  <c r="V30" i="45"/>
  <c r="V32" i="45"/>
  <c r="V34" i="45"/>
  <c r="V36" i="45"/>
  <c r="V38" i="45"/>
  <c r="V40" i="45"/>
  <c r="V26" i="45"/>
  <c r="V9" i="45"/>
  <c r="V11" i="45"/>
  <c r="V13" i="45"/>
  <c r="V15" i="45"/>
  <c r="V17" i="45"/>
  <c r="V19" i="45"/>
  <c r="V21" i="45"/>
  <c r="V23" i="45"/>
  <c r="V25" i="45"/>
  <c r="V7" i="45"/>
  <c r="V46" i="44"/>
  <c r="V48" i="44"/>
  <c r="V50" i="44"/>
  <c r="V52" i="44"/>
  <c r="V31" i="44"/>
  <c r="V33" i="44"/>
  <c r="V35" i="44"/>
  <c r="V37" i="44"/>
  <c r="V39" i="44"/>
  <c r="V41" i="44"/>
  <c r="V43" i="44"/>
  <c r="V8" i="44"/>
  <c r="V10" i="44"/>
  <c r="V12" i="44"/>
  <c r="V14" i="44"/>
  <c r="V16" i="44"/>
  <c r="V18" i="44"/>
  <c r="V20" i="44"/>
  <c r="V22" i="44"/>
  <c r="V24" i="44"/>
  <c r="V26" i="44"/>
  <c r="V28" i="44"/>
  <c r="V7" i="44"/>
  <c r="V47" i="44"/>
  <c r="V49" i="44"/>
  <c r="V51" i="44"/>
  <c r="V45" i="44"/>
  <c r="V32" i="44"/>
  <c r="V34" i="44"/>
  <c r="V36" i="44"/>
  <c r="V38" i="44"/>
  <c r="V40" i="44"/>
  <c r="V42" i="44"/>
  <c r="V30" i="44"/>
  <c r="V9" i="44"/>
  <c r="V11" i="44"/>
  <c r="V13" i="44"/>
  <c r="V15" i="44"/>
  <c r="V17" i="44"/>
  <c r="V19" i="44"/>
  <c r="V21" i="44"/>
  <c r="V23" i="44"/>
  <c r="V25" i="44"/>
  <c r="V27" i="44"/>
  <c r="V29" i="44"/>
  <c r="V48" i="43"/>
  <c r="V46" i="43"/>
  <c r="V44" i="43"/>
  <c r="V27" i="43"/>
  <c r="V29" i="43"/>
  <c r="V31" i="43"/>
  <c r="V33" i="43"/>
  <c r="V35" i="43"/>
  <c r="V37" i="43"/>
  <c r="V39" i="43"/>
  <c r="V41" i="43"/>
  <c r="V8" i="43"/>
  <c r="V10" i="43"/>
  <c r="V12" i="43"/>
  <c r="V14" i="43"/>
  <c r="V16" i="43"/>
  <c r="V18" i="43"/>
  <c r="V20" i="43"/>
  <c r="V22" i="43"/>
  <c r="V24" i="43"/>
  <c r="V7" i="43"/>
  <c r="V47" i="43"/>
  <c r="V45" i="43"/>
  <c r="V43" i="43"/>
  <c r="V28" i="43"/>
  <c r="V30" i="43"/>
  <c r="V32" i="43"/>
  <c r="V34" i="43"/>
  <c r="V36" i="43"/>
  <c r="V38" i="43"/>
  <c r="V40" i="43"/>
  <c r="V26" i="43"/>
  <c r="V9" i="43"/>
  <c r="V11" i="43"/>
  <c r="V13" i="43"/>
  <c r="V15" i="43"/>
  <c r="V17" i="43"/>
  <c r="V19" i="43"/>
  <c r="V21" i="43"/>
  <c r="V23" i="43"/>
  <c r="V25" i="43"/>
</calcChain>
</file>

<file path=xl/comments1.xml><?xml version="1.0" encoding="utf-8"?>
<comments xmlns="http://schemas.openxmlformats.org/spreadsheetml/2006/main">
  <authors>
    <author>CIO</author>
  </authors>
  <commentList>
    <comment ref="G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 stadija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II stadija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III stadija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IV stadija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Nenurodyta stadija</t>
        </r>
      </text>
    </comment>
    <comment ref="BT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 stadija</t>
        </r>
      </text>
    </comment>
    <comment ref="BU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II stadija</t>
        </r>
      </text>
    </comment>
    <comment ref="BV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III stadija</t>
        </r>
      </text>
    </comment>
    <comment ref="BW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IV stadija</t>
        </r>
      </text>
    </comment>
    <comment ref="BX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Nenurodyta stadija</t>
        </r>
      </text>
    </comment>
  </commentList>
</comments>
</file>

<file path=xl/sharedStrings.xml><?xml version="1.0" encoding="utf-8"?>
<sst xmlns="http://schemas.openxmlformats.org/spreadsheetml/2006/main" count="2348" uniqueCount="634">
  <si>
    <t>Kodas</t>
  </si>
  <si>
    <t>Liga</t>
  </si>
  <si>
    <t>Tlk</t>
  </si>
  <si>
    <t>Vyrai - viso</t>
  </si>
  <si>
    <t>F90</t>
  </si>
  <si>
    <t>ML</t>
  </si>
  <si>
    <t>I</t>
  </si>
  <si>
    <t>II</t>
  </si>
  <si>
    <t>III</t>
  </si>
  <si>
    <t>IV</t>
  </si>
  <si>
    <t>Nėra</t>
  </si>
  <si>
    <t>5-9</t>
  </si>
  <si>
    <t>10-14</t>
  </si>
  <si>
    <t xml:space="preserve">0-4 </t>
  </si>
  <si>
    <t>15-19</t>
  </si>
  <si>
    <t>20-24</t>
  </si>
  <si>
    <t>25-29</t>
  </si>
  <si>
    <t>35-39</t>
  </si>
  <si>
    <t>40-44</t>
  </si>
  <si>
    <t>45-49</t>
  </si>
  <si>
    <t>50-54</t>
  </si>
  <si>
    <t>55-59</t>
  </si>
  <si>
    <t>80-84</t>
  </si>
  <si>
    <t>85+</t>
  </si>
  <si>
    <t>Histo</t>
  </si>
  <si>
    <t>Cito</t>
  </si>
  <si>
    <t>Kiti</t>
  </si>
  <si>
    <t>Isg10</t>
  </si>
  <si>
    <t>Isg01</t>
  </si>
  <si>
    <t>Isg05</t>
  </si>
  <si>
    <t>IsgViso</t>
  </si>
  <si>
    <t>Sant. išg. vyrams</t>
  </si>
  <si>
    <t>Rel05</t>
  </si>
  <si>
    <t>Rel01</t>
  </si>
  <si>
    <t>Iš viso onkologinių susirgimų</t>
  </si>
  <si>
    <t>Piktybiniai navikai</t>
  </si>
  <si>
    <t>C00-C96</t>
  </si>
  <si>
    <t xml:space="preserve">  lūpos</t>
  </si>
  <si>
    <t>C00</t>
  </si>
  <si>
    <t xml:space="preserve">  burnos ertmės ir ryklės</t>
  </si>
  <si>
    <t>C01-C14</t>
  </si>
  <si>
    <t xml:space="preserve">  stemplės</t>
  </si>
  <si>
    <t>C15</t>
  </si>
  <si>
    <t xml:space="preserve">  skrandžio</t>
  </si>
  <si>
    <t>C16</t>
  </si>
  <si>
    <t xml:space="preserve">  gaubtinės žarnos</t>
  </si>
  <si>
    <t>C18</t>
  </si>
  <si>
    <t xml:space="preserve">  tiesiosios žarnos, išangės</t>
  </si>
  <si>
    <t>C19-C21</t>
  </si>
  <si>
    <t xml:space="preserve">  kepenų</t>
  </si>
  <si>
    <t>C22</t>
  </si>
  <si>
    <t xml:space="preserve">  tulžies pūslės, ekstrahepatinių takų</t>
  </si>
  <si>
    <t>C23, C24</t>
  </si>
  <si>
    <t xml:space="preserve">  kasos</t>
  </si>
  <si>
    <t>C25</t>
  </si>
  <si>
    <t xml:space="preserve">  kitų virškinimo sistemos organų</t>
  </si>
  <si>
    <t>C17, C26, C48</t>
  </si>
  <si>
    <t xml:space="preserve">  nosies ertmės, vid.ausies ir ančių</t>
  </si>
  <si>
    <t>C30, C31</t>
  </si>
  <si>
    <t xml:space="preserve">  gerklų</t>
  </si>
  <si>
    <t>C32</t>
  </si>
  <si>
    <t xml:space="preserve">  plaučių, trachėjos, bronchų</t>
  </si>
  <si>
    <t>C33, C34</t>
  </si>
  <si>
    <t xml:space="preserve">  kitų kvėpavimo sistemos organų</t>
  </si>
  <si>
    <t>C37-C39</t>
  </si>
  <si>
    <t xml:space="preserve">  kaulų ir jungiamojo audinio</t>
  </si>
  <si>
    <t>C40-C41, C45-C47, C49</t>
  </si>
  <si>
    <t xml:space="preserve">  odos melanoma</t>
  </si>
  <si>
    <t>C43</t>
  </si>
  <si>
    <t xml:space="preserve">  kiti odos piktybiniai navikai</t>
  </si>
  <si>
    <t>C44</t>
  </si>
  <si>
    <t xml:space="preserve">  krūties</t>
  </si>
  <si>
    <t>C50</t>
  </si>
  <si>
    <t xml:space="preserve">  gimdos kaklelio</t>
  </si>
  <si>
    <t>C53</t>
  </si>
  <si>
    <t xml:space="preserve">  gimdos kūno</t>
  </si>
  <si>
    <t>C54, C55</t>
  </si>
  <si>
    <t xml:space="preserve">  kiaušidžių</t>
  </si>
  <si>
    <t>C56</t>
  </si>
  <si>
    <t xml:space="preserve">  vulvos</t>
  </si>
  <si>
    <t>C51</t>
  </si>
  <si>
    <t xml:space="preserve">  priešinės liaukos</t>
  </si>
  <si>
    <t>C61</t>
  </si>
  <si>
    <t xml:space="preserve">  sėklidžių</t>
  </si>
  <si>
    <t>C62</t>
  </si>
  <si>
    <t xml:space="preserve">  kitų lyties organų</t>
  </si>
  <si>
    <t>C52, C57-C58, C60, C63</t>
  </si>
  <si>
    <t xml:space="preserve">  inkstų</t>
  </si>
  <si>
    <t>C64</t>
  </si>
  <si>
    <t xml:space="preserve">  šlapimo pūslės</t>
  </si>
  <si>
    <t>C67</t>
  </si>
  <si>
    <t xml:space="preserve">  kitų šlapimą išskiriančių organų</t>
  </si>
  <si>
    <t>C65, C66, C68</t>
  </si>
  <si>
    <t xml:space="preserve">  akių</t>
  </si>
  <si>
    <t>C69</t>
  </si>
  <si>
    <t xml:space="preserve">  smegenų</t>
  </si>
  <si>
    <t>C70-C72</t>
  </si>
  <si>
    <t xml:space="preserve">  skydliaukės</t>
  </si>
  <si>
    <t>C73</t>
  </si>
  <si>
    <t xml:space="preserve">  kitų endokrininių liaukų</t>
  </si>
  <si>
    <t>C74-C75</t>
  </si>
  <si>
    <t xml:space="preserve">  nepatikslintos lokalizacijos</t>
  </si>
  <si>
    <t>C76-C80</t>
  </si>
  <si>
    <t xml:space="preserve">  Hodžkino limfomos</t>
  </si>
  <si>
    <t>C81</t>
  </si>
  <si>
    <t xml:space="preserve">  ne Hodžkino limfomos</t>
  </si>
  <si>
    <t>C82-C85</t>
  </si>
  <si>
    <t xml:space="preserve">  mielominės ligos</t>
  </si>
  <si>
    <t>C90</t>
  </si>
  <si>
    <t xml:space="preserve">  leukemijos</t>
  </si>
  <si>
    <t>C91-C95</t>
  </si>
  <si>
    <t xml:space="preserve">  kiti limfinio, kraujodaros audinių</t>
  </si>
  <si>
    <t>C88, C96</t>
  </si>
  <si>
    <t xml:space="preserve">  melanoma in situ</t>
  </si>
  <si>
    <t>D03</t>
  </si>
  <si>
    <t>D05</t>
  </si>
  <si>
    <t>D06</t>
  </si>
  <si>
    <t>D09.0</t>
  </si>
  <si>
    <t>D32, D33</t>
  </si>
  <si>
    <t>D39.1</t>
  </si>
  <si>
    <t>D42, D43</t>
  </si>
  <si>
    <t xml:space="preserve">  limfinio ir kraujodaros audinių</t>
  </si>
  <si>
    <t>D45-D47</t>
  </si>
  <si>
    <t>Sant. išg. moterims</t>
  </si>
  <si>
    <t>Moterys - viso</t>
  </si>
  <si>
    <t>01 - Vyrai - stadijos</t>
  </si>
  <si>
    <t>02 -Vyrai - patvirtinimas</t>
  </si>
  <si>
    <t>04 - Vyrai - mirtingumas pagal amžiaus grupes</t>
  </si>
  <si>
    <t>05 - Vyrų ligotumas nurodytai datai</t>
  </si>
  <si>
    <t>06 - Moterys - stadijos</t>
  </si>
  <si>
    <t>07 - Moterys - patvirtinimas</t>
  </si>
  <si>
    <t>08 - Moterys - sergamumas pagal amžiaus grupes</t>
  </si>
  <si>
    <t>09 - Moterys - mirtingumas pagal amžiaus grupes</t>
  </si>
  <si>
    <t>10 - Moterys - ligotumas nurodytai datai</t>
  </si>
  <si>
    <t>Vyr_0</t>
  </si>
  <si>
    <t>Vyr_1</t>
  </si>
  <si>
    <t>Vyr_2</t>
  </si>
  <si>
    <t>Vyr_3</t>
  </si>
  <si>
    <t>Vyr_4</t>
  </si>
  <si>
    <t>Vyr_Nz</t>
  </si>
  <si>
    <t>v00-04</t>
  </si>
  <si>
    <t>v05-09</t>
  </si>
  <si>
    <t>v10-14</t>
  </si>
  <si>
    <t>v15-19</t>
  </si>
  <si>
    <t>v20-24</t>
  </si>
  <si>
    <t>v25-29</t>
  </si>
  <si>
    <t>v30-34</t>
  </si>
  <si>
    <t>v35-39</t>
  </si>
  <si>
    <t>v40-44</t>
  </si>
  <si>
    <t>v45-49</t>
  </si>
  <si>
    <t>v50-54</t>
  </si>
  <si>
    <t>v55-59</t>
  </si>
  <si>
    <t>v60-64</t>
  </si>
  <si>
    <t>v65-69</t>
  </si>
  <si>
    <t>v70-74</t>
  </si>
  <si>
    <t>v75-79</t>
  </si>
  <si>
    <t>v80-84</t>
  </si>
  <si>
    <t>v85+</t>
  </si>
  <si>
    <t>30-34</t>
  </si>
  <si>
    <t>60-64</t>
  </si>
  <si>
    <t>65-69</t>
  </si>
  <si>
    <t>70-74</t>
  </si>
  <si>
    <t>75-79</t>
  </si>
  <si>
    <t>N/D</t>
  </si>
  <si>
    <t>PatvHisto</t>
  </si>
  <si>
    <t>PatvCito</t>
  </si>
  <si>
    <t>PatvKt</t>
  </si>
  <si>
    <t>PatvMl</t>
  </si>
  <si>
    <t>PatvNz</t>
  </si>
  <si>
    <t>Vyr_1m</t>
  </si>
  <si>
    <t>Vyr_5m</t>
  </si>
  <si>
    <t>Vyr_10m</t>
  </si>
  <si>
    <t>Vyr_Viso</t>
  </si>
  <si>
    <t>Mot_0</t>
  </si>
  <si>
    <t>Mot_1</t>
  </si>
  <si>
    <t>Mot_2</t>
  </si>
  <si>
    <t>Mot_3</t>
  </si>
  <si>
    <t>Mot_4</t>
  </si>
  <si>
    <t>Mot_Nz</t>
  </si>
  <si>
    <t>m00-04</t>
  </si>
  <si>
    <t>m05-09</t>
  </si>
  <si>
    <t>m10-14</t>
  </si>
  <si>
    <t>m15-19</t>
  </si>
  <si>
    <t>m20-24</t>
  </si>
  <si>
    <t>m25-29</t>
  </si>
  <si>
    <t>m30-34</t>
  </si>
  <si>
    <t>m35-39</t>
  </si>
  <si>
    <t>m40-44</t>
  </si>
  <si>
    <t>m45-49</t>
  </si>
  <si>
    <t>m50-54</t>
  </si>
  <si>
    <t>m55-59</t>
  </si>
  <si>
    <t>m60-64</t>
  </si>
  <si>
    <t>m65-69</t>
  </si>
  <si>
    <t>m70-74</t>
  </si>
  <si>
    <t>m75-79</t>
  </si>
  <si>
    <t>m80-84</t>
  </si>
  <si>
    <t>m85+</t>
  </si>
  <si>
    <t>Mot_1m</t>
  </si>
  <si>
    <t>Mot_5m</t>
  </si>
  <si>
    <t>Mot_10m</t>
  </si>
  <si>
    <t>Mot_Viso</t>
  </si>
  <si>
    <t>C00-C96, D03, D05, D06, D09.0, D32-D33, D39.1, D42-D43, D45-D47</t>
  </si>
  <si>
    <t xml:space="preserve">03 -Vyrai - sergamumas pagal amžiaus grupes 5m. </t>
  </si>
  <si>
    <t xml:space="preserve">Vyrai - sergamumas pagal amžiaus grupes 15m. </t>
  </si>
  <si>
    <t xml:space="preserve">Moterys - sergamumas pagal amžiaus grupes 15m. </t>
  </si>
  <si>
    <t>0-14</t>
  </si>
  <si>
    <t>15-29</t>
  </si>
  <si>
    <t>30-54</t>
  </si>
  <si>
    <t>55-74</t>
  </si>
  <si>
    <t>75+</t>
  </si>
  <si>
    <t>Iš Viso:</t>
  </si>
  <si>
    <t>Burnos ertmės ir ryklės</t>
  </si>
  <si>
    <t>Tiesiosios žarnos, išangės</t>
  </si>
  <si>
    <t>Inkstų</t>
  </si>
  <si>
    <t>Gaubtinės žarnos</t>
  </si>
  <si>
    <t>Skrandžio</t>
  </si>
  <si>
    <t>Kiti odos piktybiniai navikai</t>
  </si>
  <si>
    <t>Plaučių, trachėjos, bronchų</t>
  </si>
  <si>
    <t>Priešinės liaukos</t>
  </si>
  <si>
    <t>Kasos</t>
  </si>
  <si>
    <t>Šlapimo pūslės</t>
  </si>
  <si>
    <t>Sėklidžių</t>
  </si>
  <si>
    <t>Skydliaukės</t>
  </si>
  <si>
    <t>Hodžkino limfomos</t>
  </si>
  <si>
    <t>Kitų virškinimo sistemos organų</t>
  </si>
  <si>
    <t>Smegenų</t>
  </si>
  <si>
    <t>Ne Hodžkino limfomos</t>
  </si>
  <si>
    <t>Leukemijos</t>
  </si>
  <si>
    <t>Kaulų ir jungiamojo audinio</t>
  </si>
  <si>
    <t>Odos melanoma</t>
  </si>
  <si>
    <t>Gerklų</t>
  </si>
  <si>
    <t>Kiaušidžių</t>
  </si>
  <si>
    <t>Gimdos kaklelio</t>
  </si>
  <si>
    <t>Gimdos kūno</t>
  </si>
  <si>
    <t>Krūties</t>
  </si>
  <si>
    <t>Akių</t>
  </si>
  <si>
    <t>Kitų endokrininių liaukų</t>
  </si>
  <si>
    <t>Nepatikslintos lokalizacijos</t>
  </si>
  <si>
    <t>I stadija</t>
  </si>
  <si>
    <t>II stadija</t>
  </si>
  <si>
    <t>III stadija</t>
  </si>
  <si>
    <t>IV stadija</t>
  </si>
  <si>
    <t>Nenurodyta</t>
  </si>
  <si>
    <t>Lokalizacija</t>
  </si>
  <si>
    <t>TLK-10 kodas</t>
  </si>
  <si>
    <t>atv.</t>
  </si>
  <si>
    <t>%</t>
  </si>
  <si>
    <t>Vyrai</t>
  </si>
  <si>
    <t>Iš viso pagal amžių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</si>
  <si>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</si>
  <si>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</si>
  <si>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</si>
  <si>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</si>
  <si>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</si>
  <si>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</si>
  <si>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</si>
  <si>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</si>
  <si>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</si>
  <si>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</si>
  <si>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</si>
  <si>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</si>
  <si>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</si>
  <si>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</si>
  <si>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</si>
  <si>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</si>
  <si>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</si>
  <si>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Moterys</t>
  </si>
  <si>
    <t xml:space="preserve">  Nervų sistemos gerybiniai navikai</t>
  </si>
  <si>
    <t>Atvejai</t>
  </si>
  <si>
    <t>pop78m</t>
  </si>
  <si>
    <t>pop79m</t>
  </si>
  <si>
    <t>pop80m</t>
  </si>
  <si>
    <t>pop81m</t>
  </si>
  <si>
    <t>pop82m</t>
  </si>
  <si>
    <t>pop83m</t>
  </si>
  <si>
    <t>pop84m</t>
  </si>
  <si>
    <t>pop85m</t>
  </si>
  <si>
    <t>pop86m</t>
  </si>
  <si>
    <t>pop87m</t>
  </si>
  <si>
    <t>pop88m</t>
  </si>
  <si>
    <t>pop89m</t>
  </si>
  <si>
    <t>pop90m</t>
  </si>
  <si>
    <t>pop91m</t>
  </si>
  <si>
    <t>pop92m</t>
  </si>
  <si>
    <t>pop93m</t>
  </si>
  <si>
    <t>pop94m</t>
  </si>
  <si>
    <t>pop95m</t>
  </si>
  <si>
    <t>pop96m</t>
  </si>
  <si>
    <t>pop97m</t>
  </si>
  <si>
    <t>pop98m</t>
  </si>
  <si>
    <t>pop99m</t>
  </si>
  <si>
    <t>pop00m</t>
  </si>
  <si>
    <t>pop01m</t>
  </si>
  <si>
    <t>pop02m</t>
  </si>
  <si>
    <t>pop03m</t>
  </si>
  <si>
    <t>pop04m</t>
  </si>
  <si>
    <t>pop05m</t>
  </si>
  <si>
    <t>pop06m</t>
  </si>
  <si>
    <t>pop07m</t>
  </si>
  <si>
    <t>pop08m</t>
  </si>
  <si>
    <t>pop09m</t>
  </si>
  <si>
    <t xml:space="preserve"> 0-4</t>
  </si>
  <si>
    <t xml:space="preserve"> 5-9</t>
  </si>
  <si>
    <t xml:space="preserve"> 10-14</t>
  </si>
  <si>
    <t xml:space="preserve"> 15-19</t>
  </si>
  <si>
    <t xml:space="preserve"> 20-24</t>
  </si>
  <si>
    <t xml:space="preserve"> 25-29</t>
  </si>
  <si>
    <t xml:space="preserve"> 30-34</t>
  </si>
  <si>
    <t xml:space="preserve"> 35-39</t>
  </si>
  <si>
    <t xml:space="preserve"> 40-44</t>
  </si>
  <si>
    <t xml:space="preserve"> 45-49</t>
  </si>
  <si>
    <t xml:space="preserve"> 50-54</t>
  </si>
  <si>
    <t xml:space="preserve"> 55-59</t>
  </si>
  <si>
    <t xml:space="preserve"> 60-64 </t>
  </si>
  <si>
    <t xml:space="preserve"> 70-74</t>
  </si>
  <si>
    <t xml:space="preserve"> 75-79</t>
  </si>
  <si>
    <t xml:space="preserve"> 80-84</t>
  </si>
  <si>
    <t xml:space="preserve"> 85+</t>
  </si>
  <si>
    <t>Total</t>
  </si>
  <si>
    <t>pop78f</t>
  </si>
  <si>
    <t>pop79f</t>
  </si>
  <si>
    <t>pop80f</t>
  </si>
  <si>
    <t>pop81f</t>
  </si>
  <si>
    <t>pop82f</t>
  </si>
  <si>
    <t>pop83f</t>
  </si>
  <si>
    <t>pop84f</t>
  </si>
  <si>
    <t>pop85f</t>
  </si>
  <si>
    <t>pop86f</t>
  </si>
  <si>
    <t>pop87f</t>
  </si>
  <si>
    <t>pop88f</t>
  </si>
  <si>
    <t>pop89f</t>
  </si>
  <si>
    <t>pop90f</t>
  </si>
  <si>
    <t>pop91f</t>
  </si>
  <si>
    <t>pop92f</t>
  </si>
  <si>
    <t>pop93f</t>
  </si>
  <si>
    <t>pop94f</t>
  </si>
  <si>
    <t>pop95f</t>
  </si>
  <si>
    <t>pop96f</t>
  </si>
  <si>
    <t>pop97f</t>
  </si>
  <si>
    <t>pop98f</t>
  </si>
  <si>
    <t>pop99f</t>
  </si>
  <si>
    <t>pop00f</t>
  </si>
  <si>
    <t>pop01f</t>
  </si>
  <si>
    <t>pop02f</t>
  </si>
  <si>
    <t>pop03f</t>
  </si>
  <si>
    <t>pop04f</t>
  </si>
  <si>
    <t>pop05f</t>
  </si>
  <si>
    <t>pop06f</t>
  </si>
  <si>
    <t>pop07f</t>
  </si>
  <si>
    <t>pop08f</t>
  </si>
  <si>
    <t>pop09f</t>
  </si>
  <si>
    <t>Lokalizacijos</t>
  </si>
  <si>
    <t>Amžiaus grupės</t>
  </si>
  <si>
    <t>atv/gyv*100000*st.pop (Pagal lokalizacijas)</t>
  </si>
  <si>
    <t>Suma</t>
  </si>
  <si>
    <t>Rodiklis</t>
  </si>
  <si>
    <t>Skaičiavimai</t>
  </si>
  <si>
    <t>metų =</t>
  </si>
  <si>
    <t>Gyventojų duomenys:</t>
  </si>
  <si>
    <t>Standartizuotas rodiklis</t>
  </si>
  <si>
    <t>pop10m</t>
  </si>
  <si>
    <t>pop11m</t>
  </si>
  <si>
    <t>pop12m</t>
  </si>
  <si>
    <t>pop13m</t>
  </si>
  <si>
    <t>pop14m</t>
  </si>
  <si>
    <t>pop15m</t>
  </si>
  <si>
    <t>pop16m</t>
  </si>
  <si>
    <t>pop17m</t>
  </si>
  <si>
    <t>pop18m</t>
  </si>
  <si>
    <t>pop19m</t>
  </si>
  <si>
    <t>pop20m</t>
  </si>
  <si>
    <t>pop21m</t>
  </si>
  <si>
    <t>pop22m</t>
  </si>
  <si>
    <t>pop23m</t>
  </si>
  <si>
    <t>pop24m</t>
  </si>
  <si>
    <t>pop25m</t>
  </si>
  <si>
    <t>pop26m</t>
  </si>
  <si>
    <t>pop27m</t>
  </si>
  <si>
    <t>pop28m</t>
  </si>
  <si>
    <t>pop29m</t>
  </si>
  <si>
    <t>pop30m</t>
  </si>
  <si>
    <t>pop10f</t>
  </si>
  <si>
    <t>pop11f</t>
  </si>
  <si>
    <t>pop12f</t>
  </si>
  <si>
    <t>pop13f</t>
  </si>
  <si>
    <t>pop14f</t>
  </si>
  <si>
    <t>pop15f</t>
  </si>
  <si>
    <t>pop16f</t>
  </si>
  <si>
    <t>pop17f</t>
  </si>
  <si>
    <t>pop18f</t>
  </si>
  <si>
    <t>pop19f</t>
  </si>
  <si>
    <t>pop20f</t>
  </si>
  <si>
    <t>pop21f</t>
  </si>
  <si>
    <t>pop22f</t>
  </si>
  <si>
    <t>pop23f</t>
  </si>
  <si>
    <t>pop24f</t>
  </si>
  <si>
    <t>pop25f</t>
  </si>
  <si>
    <t>pop26f</t>
  </si>
  <si>
    <t>pop27f</t>
  </si>
  <si>
    <t>pop28f</t>
  </si>
  <si>
    <t>pop29f</t>
  </si>
  <si>
    <t>pop30f</t>
  </si>
  <si>
    <t>Reikalingi Failai - "Data" ir "Populiacija"</t>
  </si>
  <si>
    <t>Reikalingi Failai - "Data"</t>
  </si>
  <si>
    <t>Reikalingi Failai - "Data" ir "Lent02v"</t>
  </si>
  <si>
    <t>Reikalingi Failai - "Data" ir "Lent02m"</t>
  </si>
  <si>
    <t>Metai</t>
  </si>
  <si>
    <t>Naudojami puslapiai: "Data", "Populiacija", "Lent02v", "Lent02m"</t>
  </si>
  <si>
    <t>Standartinė populiacija Europos</t>
  </si>
  <si>
    <t>Standartinė populiacija Pasaulio</t>
  </si>
  <si>
    <t>surv1_vyr</t>
  </si>
  <si>
    <t>surv5_vyr</t>
  </si>
  <si>
    <t>surv1_mot</t>
  </si>
  <si>
    <t>surv5_mot</t>
  </si>
  <si>
    <t>Skaičiavimai EASR</t>
  </si>
  <si>
    <t>Skaičiavimai WASR</t>
  </si>
  <si>
    <t>Gyventojų skaičius (vyrų)</t>
  </si>
  <si>
    <t>C60, C63</t>
  </si>
  <si>
    <t>C52, C57-C58</t>
  </si>
  <si>
    <t>Amžiaus grupė</t>
  </si>
  <si>
    <t>1-erių metų, %</t>
  </si>
  <si>
    <t>5-erių metų, %</t>
  </si>
  <si>
    <t>Stemplės</t>
  </si>
  <si>
    <t xml:space="preserve">Vyrai - mirtingumas pagal amžiaus grupes 15m. </t>
  </si>
  <si>
    <t xml:space="preserve">Moterys - mirtingumas pagal amžiaus grupes 15m. </t>
  </si>
  <si>
    <t>EASR *</t>
  </si>
  <si>
    <t>WASR **</t>
  </si>
  <si>
    <t>Iš viso</t>
  </si>
  <si>
    <t>išgyveno   iš viso</t>
  </si>
  <si>
    <t xml:space="preserve"> Amžius</t>
  </si>
  <si>
    <t xml:space="preserve"> Moterys</t>
  </si>
  <si>
    <t xml:space="preserve"> 60-64</t>
  </si>
  <si>
    <t xml:space="preserve">  kiti nervų sistemos</t>
  </si>
  <si>
    <t xml:space="preserve">  krūties navikai in situ</t>
  </si>
  <si>
    <t xml:space="preserve">  gimdos kaklelio in situ</t>
  </si>
  <si>
    <t xml:space="preserve">  šlapimo pūslės in situ</t>
  </si>
  <si>
    <t>≥ 1 metai</t>
  </si>
  <si>
    <t>≥ 5 metai</t>
  </si>
  <si>
    <t>≥ 10 metų</t>
  </si>
  <si>
    <t>*</t>
  </si>
  <si>
    <t>atv</t>
  </si>
  <si>
    <t>Lūpos</t>
  </si>
  <si>
    <t>Vyrai, 0-14 metų (8 atv.)</t>
  </si>
  <si>
    <t>Kepenų</t>
  </si>
  <si>
    <t>Kitų kvėpavimo sistemos organų</t>
  </si>
  <si>
    <t>-</t>
  </si>
  <si>
    <t>Vidutinis gyventojų skaičius Lietuvoje</t>
  </si>
  <si>
    <t>80,5*</t>
  </si>
  <si>
    <t>100,0*</t>
  </si>
  <si>
    <t>78,9*</t>
  </si>
  <si>
    <t>Gyventojų skaičius (moterų)</t>
  </si>
  <si>
    <t>Gyventojų skaičius (vyrų ir moterų)</t>
  </si>
  <si>
    <t>Moterys, 0-14 metų (5 atv.)</t>
  </si>
  <si>
    <t>Vyrai, visos amžiaus grupės (9319 atv.)</t>
  </si>
  <si>
    <t>Vyrai, 0-14 metų (46 atv.)</t>
  </si>
  <si>
    <t>Vyrai, 15-29 metų (62 atv.)</t>
  </si>
  <si>
    <t>Vyrai, 30-54 metų (1198 atv.)</t>
  </si>
  <si>
    <t>Vyrai, 55-74 metų (5662 atv.)</t>
  </si>
  <si>
    <t>Vyrai, 75 ir daugiau metų (2351 atv.)</t>
  </si>
  <si>
    <t>Moterys, visos amžiaus grupės (8389 atv.)</t>
  </si>
  <si>
    <t>Moterys, 0-14 metų (28 atv.)</t>
  </si>
  <si>
    <t>Moterys, 15-29 metų (110 atv.)</t>
  </si>
  <si>
    <t>Moterys, 30-54 metų (1670 atv.)</t>
  </si>
  <si>
    <t>Moterys, 55-74 metų (3731 atv.)</t>
  </si>
  <si>
    <t>Moterys, 75 ir daugiau metų (2850 atv.)</t>
  </si>
  <si>
    <t>Vyrai, visos amžiaus grupės (4645 atv.)</t>
  </si>
  <si>
    <t>Vyrai, 15-29 metų (13 atv.)</t>
  </si>
  <si>
    <t>Vyrai, 30-54 metų (491 atv.)</t>
  </si>
  <si>
    <t>Vyrai, 55-74 metų (2410 atv.)</t>
  </si>
  <si>
    <t>Vyrai, 75 ir daugiau metų (1723 atv.)</t>
  </si>
  <si>
    <t>Moterys, visos amžiaus grupės (3702 atv.)</t>
  </si>
  <si>
    <t>Moterys, 15-29 metų (8 atv.)</t>
  </si>
  <si>
    <t>Moterys, 30-54 metų (434 atv.)</t>
  </si>
  <si>
    <t>Moterys, 55-74 metų (1497 atv.)</t>
  </si>
  <si>
    <t>Moterys, 75 ir daugiau metų (1758 atv.)</t>
  </si>
  <si>
    <t>Vyrai ir moterys, visos amžiaus grupės (17708 atv.)</t>
  </si>
  <si>
    <t>Vyrai ir moterys, 0-14 metų (74 atv.)</t>
  </si>
  <si>
    <t>Vyrai ir moterys, 15-29 metų (172 atv.)</t>
  </si>
  <si>
    <t>Vyrai ir moterys, 30-54 metų (2868 atv.)</t>
  </si>
  <si>
    <t>Vyrai ir moterys, 55-74 metų (9393 atv.)</t>
  </si>
  <si>
    <t>Vyrai ir moterys, 75 ir daugiau metų (5201 atv.)</t>
  </si>
  <si>
    <t>Vyrai ir moterys, visos amžiaus grupės (8347 atv.)</t>
  </si>
  <si>
    <t>Vyrai ir moterys, 0-14 metų (13 atv.)</t>
  </si>
  <si>
    <t>Vyrai ir moterys, 15-29 metų (21 atv.)</t>
  </si>
  <si>
    <t>Vyrai ir moterys, 30-54 metų (925 atv.)</t>
  </si>
  <si>
    <t>Vyrai ir moterys, 55-74 metų (3907 atv.)</t>
  </si>
  <si>
    <t>Vyrai ir moterys, 75 ir daugiau metų (3481 atv.)</t>
  </si>
  <si>
    <t>52,3</t>
  </si>
  <si>
    <t>35,1</t>
  </si>
  <si>
    <t>40,8</t>
  </si>
  <si>
    <t>71,8</t>
  </si>
  <si>
    <t>56,7</t>
  </si>
  <si>
    <t>75,7</t>
  </si>
  <si>
    <t>58,3</t>
  </si>
  <si>
    <t>29,8</t>
  </si>
  <si>
    <t>9,6</t>
  </si>
  <si>
    <t>38,9</t>
  </si>
  <si>
    <t>22,6</t>
  </si>
  <si>
    <t>5,2</t>
  </si>
  <si>
    <t>67,5</t>
  </si>
  <si>
    <t>48,7</t>
  </si>
  <si>
    <t>16,5</t>
  </si>
  <si>
    <t>73,7</t>
  </si>
  <si>
    <t>62,8</t>
  </si>
  <si>
    <t>89,9</t>
  </si>
  <si>
    <t>83,4</t>
  </si>
  <si>
    <t>77,1</t>
  </si>
  <si>
    <t>49,9</t>
  </si>
  <si>
    <t>82,3</t>
  </si>
  <si>
    <t>62,9</t>
  </si>
  <si>
    <t>91,8</t>
  </si>
  <si>
    <t>83,1</t>
  </si>
  <si>
    <t>69,2</t>
  </si>
  <si>
    <t>36,7</t>
  </si>
  <si>
    <t>85,8</t>
  </si>
  <si>
    <t>72,2</t>
  </si>
  <si>
    <t>67,9</t>
  </si>
  <si>
    <t>48,6</t>
  </si>
  <si>
    <t>24,5</t>
  </si>
  <si>
    <t>97,4</t>
  </si>
  <si>
    <t>23,2</t>
  </si>
  <si>
    <t>11,4</t>
  </si>
  <si>
    <t>74,2</t>
  </si>
  <si>
    <t>62,3</t>
  </si>
  <si>
    <t>71,4</t>
  </si>
  <si>
    <t>41,6</t>
  </si>
  <si>
    <t>66,5</t>
  </si>
  <si>
    <t>51,5</t>
  </si>
  <si>
    <t>* Į analizę įtraukta mažiau nei 50 atvejų,</t>
  </si>
  <si>
    <t>22,0</t>
  </si>
  <si>
    <t>30,0</t>
  </si>
  <si>
    <t>97,0</t>
  </si>
  <si>
    <t>67,0</t>
  </si>
  <si>
    <t>92,0</t>
  </si>
  <si>
    <t>43,0</t>
  </si>
  <si>
    <t>43,6</t>
  </si>
  <si>
    <t>22,7</t>
  </si>
  <si>
    <t>17,4</t>
  </si>
  <si>
    <t>39,6</t>
  </si>
  <si>
    <t>21,7</t>
  </si>
  <si>
    <t>72,9</t>
  </si>
  <si>
    <t>49,8</t>
  </si>
  <si>
    <t>73,2</t>
  </si>
  <si>
    <t>50,2</t>
  </si>
  <si>
    <t>28,8</t>
  </si>
  <si>
    <t>14,6</t>
  </si>
  <si>
    <t>26,1</t>
  </si>
  <si>
    <t>5,7</t>
  </si>
  <si>
    <t>73,3</t>
  </si>
  <si>
    <t>48,4</t>
  </si>
  <si>
    <t>6,9</t>
  </si>
  <si>
    <t>55,2</t>
  </si>
  <si>
    <t>32,7</t>
  </si>
  <si>
    <t>70,5</t>
  </si>
  <si>
    <t>97,9</t>
  </si>
  <si>
    <t>97,2</t>
  </si>
  <si>
    <t>93,2</t>
  </si>
  <si>
    <t>84,2</t>
  </si>
  <si>
    <t>67,3</t>
  </si>
  <si>
    <t>72,4</t>
  </si>
  <si>
    <t>49,2</t>
  </si>
  <si>
    <t>47,6</t>
  </si>
  <si>
    <t>47,7</t>
  </si>
  <si>
    <t>18,4</t>
  </si>
  <si>
    <t>93,6</t>
  </si>
  <si>
    <t>96,5</t>
  </si>
  <si>
    <t>17,7</t>
  </si>
  <si>
    <t>10,8</t>
  </si>
  <si>
    <t>56,8</t>
  </si>
  <si>
    <t>73,1</t>
  </si>
  <si>
    <t>45,9</t>
  </si>
  <si>
    <t>2,0</t>
  </si>
  <si>
    <t>28,0</t>
  </si>
  <si>
    <t>88,0</t>
  </si>
  <si>
    <t>79,0</t>
  </si>
  <si>
    <t>75,0</t>
  </si>
  <si>
    <t>98,8*</t>
  </si>
  <si>
    <t>54,8*</t>
  </si>
  <si>
    <t>17,2*</t>
  </si>
  <si>
    <t>43,2*</t>
  </si>
  <si>
    <t>40,9*</t>
  </si>
  <si>
    <t>39,6*</t>
  </si>
  <si>
    <t>35,0*</t>
  </si>
  <si>
    <t>51,1*</t>
  </si>
  <si>
    <t>51,6*</t>
  </si>
  <si>
    <t>85,8*</t>
  </si>
  <si>
    <t>77,4*</t>
  </si>
  <si>
    <t>93,0*</t>
  </si>
  <si>
    <t>76,2*</t>
  </si>
  <si>
    <t>66,4*</t>
  </si>
  <si>
    <t>47,6*</t>
  </si>
  <si>
    <t>60,6*</t>
  </si>
  <si>
    <t>59,4*</t>
  </si>
  <si>
    <t>51,4*</t>
  </si>
  <si>
    <t>54,6*</t>
  </si>
  <si>
    <t>98,7*</t>
  </si>
  <si>
    <t>96,4*</t>
  </si>
  <si>
    <t>69,2*</t>
  </si>
  <si>
    <t>41,6*</t>
  </si>
  <si>
    <t>88,6*</t>
  </si>
  <si>
    <t>36,9*</t>
  </si>
  <si>
    <t>7,7*</t>
  </si>
  <si>
    <t>90,5*</t>
  </si>
  <si>
    <t>57,0*</t>
  </si>
  <si>
    <t>63,5*</t>
  </si>
  <si>
    <t>52,5*</t>
  </si>
  <si>
    <t>81,3*</t>
  </si>
  <si>
    <t>74,6*</t>
  </si>
  <si>
    <t>76,7*</t>
  </si>
  <si>
    <t>71,9*</t>
  </si>
  <si>
    <t>14,7*</t>
  </si>
  <si>
    <t>74,5*</t>
  </si>
  <si>
    <t>66,8*</t>
  </si>
  <si>
    <t>76,8*</t>
  </si>
  <si>
    <t>31,7*</t>
  </si>
  <si>
    <t>.</t>
  </si>
  <si>
    <t>2015 m.</t>
  </si>
  <si>
    <t>Dažniausi piktybiniai navikai, sąlygoję mirtis nuo vėžio, pagal gyventojų amžiaus grupes Lietuvoje 2015 metais.</t>
  </si>
  <si>
    <t>Dažniausi piktybiniai navikai, sąlygoję mirtis nuo vėžio, pagal gyventojų amžiaus grupes ir lytį Lietuvoje 2015 metais.</t>
  </si>
  <si>
    <t>Mirčių nuo piktybinių navikų skaičius ir mirtingumo rodikliai Lietuvoje 2015 metais. Vyrai ir moterys</t>
  </si>
  <si>
    <t>Mirčių nuo piktybinių navikų skaičius ir mirtingumo rodikliai Lietuvoje 2015 metais. Vyrai</t>
  </si>
  <si>
    <t>Mirčių nuo piktybinių navikų skaičius ir mirtingumo rodikliai Lietuvoje 2015 metais. Moterys</t>
  </si>
  <si>
    <t>Mirčių nuo piktybinių navikų skaičius pagal amžiaus grupes 2015 metais. Vyrai</t>
  </si>
  <si>
    <t>Mirčių nuo piktybinių navikų skaičius pagal amžiaus grupes 2015 metais. Moterys</t>
  </si>
  <si>
    <t>Mirtingumo nuo piktybinių navikų rodikliai pagal amžiaus grupes 2015 metais. Vyrai</t>
  </si>
  <si>
    <t xml:space="preserve"> </t>
  </si>
  <si>
    <t>Mirtingumo nuo piktybinių navikų rodikliai pagal amžiaus grupes 2015 metais. Moterys</t>
  </si>
  <si>
    <t>Gyvų asmenų skaičius 2015 m. gruodžio 31 d. praėjus tam tikram laikui nuo diagnozės nustatymo. Vyrai</t>
  </si>
  <si>
    <t>Gyvų asmenų skaičius 2015 m. gruodžio 31 d. praėjus tam tikram laikui nuo diagnozės nustatymo. Moterys</t>
  </si>
  <si>
    <t>2010 metų išgyvenamumo duomenys</t>
  </si>
  <si>
    <t>2010 m. susirgusiųjų piktybiniais navikais 1-erių ir 5-erių metų reliatyvus išgyvenamumas Lietuvoje. Vyrai</t>
  </si>
  <si>
    <t>2010 m. susirgusiųjų piktybiniais navikais 1-erių ir 5-erių metų reliatyvus išgyvenamumas Lietuvoje. Moterys</t>
  </si>
  <si>
    <t>Dažniausios piktybinių navikų lokalizacijos pagal amžių ir lytį Lietuvoje 2015 metais</t>
  </si>
  <si>
    <t>Dažniausios piktybinių navikų lokalizacijos pagal amžiųį Lietuvoje 2015 metais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</si>
</sst>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L_t_-;\-* #,##0.00\ _L_t_-;_-* &quot;-&quot;??\ _L_t_-;_-@_-"/>
    <numFmt numFmtId="165" formatCode="_-* #,##0.0\ %;\-* #,##0.0\ %;_-* &quot;-&quot;;_-@_-"/>
    <numFmt numFmtId="166" formatCode="_-* ###0;\-* ###0;_-* &quot;-&quot;;_-@_-"/>
    <numFmt numFmtId="167" formatCode="_-* ###0.0;\-* ###0.0;_-* &quot;-&quot;;_-@_-"/>
    <numFmt numFmtId="168" formatCode="0.0"/>
    <numFmt numFmtId="169" formatCode="0.0;0.0;&quot;-&quot;;@"/>
  </numFmts>
  <fonts count="77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8"/>
      <name val="Arial"/>
      <family val="2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10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LT"/>
      <charset val="186"/>
    </font>
    <font>
      <sz val="10"/>
      <name val="Arial"/>
      <family val="2"/>
      <charset val="186"/>
    </font>
    <font>
      <b/>
      <i/>
      <sz val="8"/>
      <name val="Times New Roman"/>
      <family val="1"/>
      <charset val="186"/>
    </font>
    <font>
      <b/>
      <sz val="8"/>
      <name val="Arial"/>
      <family val="2"/>
      <charset val="186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color rgb="FFFF0000"/>
      <name val="Arial"/>
      <family val="2"/>
      <charset val="186"/>
    </font>
    <font>
      <b/>
      <sz val="11"/>
      <color rgb="FFC0000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9"/>
      <name val="Arial"/>
      <family val="2"/>
      <charset val="186"/>
    </font>
    <font>
      <sz val="7"/>
      <name val="Verdana"/>
      <family val="2"/>
      <charset val="186"/>
    </font>
    <font>
      <b/>
      <i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8.5"/>
      <name val="Verdana"/>
      <family val="2"/>
      <charset val="186"/>
    </font>
    <font>
      <sz val="8.5"/>
      <name val="Verdana"/>
      <family val="2"/>
      <charset val="186"/>
    </font>
    <font>
      <b/>
      <sz val="8"/>
      <name val="Verdana"/>
      <family val="2"/>
      <charset val="186"/>
    </font>
    <font>
      <sz val="10"/>
      <color indexed="8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2"/>
      <name val="TimesLT"/>
      <charset val="186"/>
    </font>
    <font>
      <sz val="8"/>
      <color theme="4" tint="0.79998168889431442"/>
      <name val="Arial"/>
      <family val="2"/>
      <charset val="186"/>
    </font>
    <font>
      <b/>
      <sz val="10"/>
      <color theme="4" tint="0.79998168889431442"/>
      <name val="Arial"/>
      <family val="2"/>
      <charset val="186"/>
    </font>
    <font>
      <sz val="10"/>
      <color theme="0"/>
      <name val="Arial"/>
      <family val="2"/>
      <charset val="186"/>
    </font>
    <font>
      <b/>
      <sz val="16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b/>
      <sz val="11"/>
      <color theme="0"/>
      <name val="Arial"/>
      <family val="2"/>
      <charset val="186"/>
    </font>
    <font>
      <sz val="8"/>
      <color theme="0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16"/>
      <color theme="0" tint="-0.14999847407452621"/>
      <name val="Arial"/>
      <family val="2"/>
      <charset val="186"/>
    </font>
    <font>
      <sz val="10"/>
      <color theme="0" tint="-0.14999847407452621"/>
      <name val="Arial"/>
      <family val="2"/>
      <charset val="186"/>
    </font>
    <font>
      <b/>
      <sz val="10"/>
      <color theme="0" tint="-0.14999847407452621"/>
      <name val="Arial"/>
      <family val="2"/>
      <charset val="186"/>
    </font>
    <font>
      <b/>
      <sz val="11"/>
      <color theme="0" tint="-0.14999847407452621"/>
      <name val="Arial"/>
      <family val="2"/>
      <charset val="186"/>
    </font>
    <font>
      <sz val="7"/>
      <color theme="0"/>
      <name val="Verdana"/>
      <family val="2"/>
      <charset val="186"/>
    </font>
    <font>
      <sz val="10"/>
      <color theme="1"/>
      <name val="Arial"/>
      <family val="2"/>
      <charset val="186"/>
    </font>
    <font>
      <sz val="10"/>
      <color rgb="FF1C1C1C"/>
      <name val="SegoeUI"/>
      <family val="2"/>
    </font>
    <font>
      <sz val="11"/>
      <name val="Times New Roman"/>
      <family val="1"/>
      <charset val="186"/>
    </font>
    <font>
      <sz val="11"/>
      <color rgb="FF9C0006"/>
      <name val="Calibri"/>
      <family val="2"/>
      <charset val="186"/>
      <scheme val="minor"/>
    </font>
    <font>
      <sz val="10"/>
      <color theme="2" tint="-9.9978637043366805E-2"/>
      <name val="Arial"/>
      <family val="2"/>
      <charset val="186"/>
    </font>
    <font>
      <b/>
      <sz val="10"/>
      <color theme="2" tint="-9.9978637043366805E-2"/>
      <name val="Arial"/>
      <family val="2"/>
      <charset val="186"/>
    </font>
    <font>
      <b/>
      <sz val="11"/>
      <color theme="4" tint="0.79998168889431442"/>
      <name val="Arial"/>
      <family val="2"/>
      <charset val="186"/>
    </font>
    <font>
      <sz val="11"/>
      <color theme="5" tint="0.79998168889431442"/>
      <name val="Calibri"/>
      <family val="2"/>
      <charset val="186"/>
      <scheme val="minor"/>
    </font>
    <font>
      <b/>
      <sz val="11"/>
      <color theme="2" tint="-9.9978637043366805E-2"/>
      <name val="Arial"/>
      <family val="2"/>
      <charset val="186"/>
    </font>
    <font>
      <b/>
      <sz val="16"/>
      <color theme="2" tint="-9.9978637043366805E-2"/>
      <name val="Arial"/>
      <family val="2"/>
      <charset val="186"/>
    </font>
    <font>
      <sz val="8"/>
      <color theme="2" tint="-9.9978637043366805E-2"/>
      <name val="Arial"/>
      <family val="2"/>
      <charset val="186"/>
    </font>
    <font>
      <b/>
      <sz val="8"/>
      <color theme="2" tint="-9.9978637043366805E-2"/>
      <name val="Arial"/>
      <family val="2"/>
      <charset val="186"/>
    </font>
    <font>
      <sz val="8"/>
      <color rgb="FFF2DCDB"/>
      <name val="Arial"/>
      <family val="2"/>
      <charset val="186"/>
    </font>
    <font>
      <b/>
      <sz val="11"/>
      <color rgb="FFF2DCDB"/>
      <name val="Arial"/>
      <family val="2"/>
      <charset val="186"/>
    </font>
    <font>
      <sz val="8"/>
      <color rgb="FFFFCCCC"/>
      <name val="Arial"/>
      <family val="2"/>
      <charset val="186"/>
    </font>
    <font>
      <b/>
      <sz val="11"/>
      <color rgb="FFFFCCCC"/>
      <name val="Arial"/>
      <family val="2"/>
      <charset val="186"/>
    </font>
    <font>
      <b/>
      <sz val="11"/>
      <color rgb="FFCCECFF"/>
      <name val="Arial"/>
      <family val="2"/>
      <charset val="186"/>
    </font>
    <font>
      <sz val="10"/>
      <color rgb="FFCCECFF"/>
      <name val="Arial"/>
      <family val="2"/>
      <charset val="186"/>
    </font>
    <font>
      <b/>
      <sz val="10"/>
      <color rgb="FFCCECFF"/>
      <name val="Arial"/>
      <family val="2"/>
      <charset val="186"/>
    </font>
    <font>
      <sz val="10"/>
      <color rgb="FFF2DCDB"/>
      <name val="Arial"/>
      <family val="2"/>
      <charset val="186"/>
    </font>
    <font>
      <sz val="10"/>
      <color theme="4" tint="0.79998168889431442"/>
      <name val="Arial"/>
      <family val="2"/>
      <charset val="186"/>
    </font>
    <font>
      <sz val="10"/>
      <color rgb="FFFFCCCC"/>
      <name val="Arial"/>
      <family val="2"/>
      <charset val="186"/>
    </font>
    <font>
      <sz val="8"/>
      <color rgb="FFCCECFF"/>
      <name val="Arial"/>
      <family val="2"/>
      <charset val="186"/>
    </font>
    <font>
      <b/>
      <sz val="10"/>
      <color rgb="FFFFCCCC"/>
      <name val="Arial"/>
      <family val="2"/>
      <charset val="186"/>
    </font>
  </fonts>
  <fills count="22">
    <fill>
      <patternFill patternType="none"/>
    </fill>
    <fill>
      <patternFill patternType="gray125"/>
    </fill>
    <fill>
      <patternFill patternType="solid">
        <fgColor indexed="48"/>
        <bgColor indexed="0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5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</patternFill>
    </fill>
    <fill>
      <patternFill patternType="solid">
        <fgColor rgb="FFFFC7CE"/>
      </patternFill>
    </fill>
    <fill>
      <patternFill patternType="solid">
        <fgColor rgb="FFF2DCDB"/>
        <bgColor indexed="64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E3E3E3"/>
      </left>
      <right style="thin">
        <color rgb="FFE3E3E3"/>
      </right>
      <top style="thin">
        <color rgb="FFE3E3E3"/>
      </top>
      <bottom style="thin">
        <color rgb="FFE3E3E3"/>
      </bottom>
      <diagonal/>
    </border>
  </borders>
  <cellStyleXfs count="20">
    <xf numFmtId="0" fontId="0" fillId="0" borderId="0"/>
    <xf numFmtId="0" fontId="12" fillId="0" borderId="0"/>
    <xf numFmtId="0" fontId="12" fillId="0" borderId="0"/>
    <xf numFmtId="0" fontId="12" fillId="0" borderId="0"/>
    <xf numFmtId="9" fontId="9" fillId="0" borderId="0" applyFont="0" applyFill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0" fontId="9" fillId="0" borderId="0"/>
    <xf numFmtId="0" fontId="8" fillId="0" borderId="0"/>
    <xf numFmtId="0" fontId="9" fillId="0" borderId="0"/>
    <xf numFmtId="0" fontId="7" fillId="0" borderId="0"/>
    <xf numFmtId="0" fontId="37" fillId="0" borderId="0"/>
    <xf numFmtId="0" fontId="1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6" fillId="20" borderId="0" applyNumberFormat="0" applyBorder="0" applyAlignment="0" applyProtection="0"/>
  </cellStyleXfs>
  <cellXfs count="563">
    <xf numFmtId="0" fontId="0" fillId="0" borderId="0" xfId="0"/>
    <xf numFmtId="0" fontId="11" fillId="2" borderId="2" xfId="2" applyFont="1" applyFill="1" applyBorder="1" applyAlignment="1">
      <alignment horizontal="center"/>
    </xf>
    <xf numFmtId="0" fontId="12" fillId="0" borderId="1" xfId="3" applyFont="1" applyFill="1" applyBorder="1" applyAlignment="1">
      <alignment horizontal="right" wrapText="1"/>
    </xf>
    <xf numFmtId="0" fontId="12" fillId="0" borderId="1" xfId="3" applyFont="1" applyFill="1" applyBorder="1" applyAlignment="1">
      <alignment wrapText="1"/>
    </xf>
    <xf numFmtId="0" fontId="0" fillId="3" borderId="0" xfId="0" applyFill="1" applyBorder="1"/>
    <xf numFmtId="0" fontId="0" fillId="4" borderId="0" xfId="0" applyFill="1"/>
    <xf numFmtId="0" fontId="11" fillId="5" borderId="3" xfId="2" applyFont="1" applyFill="1" applyBorder="1" applyAlignment="1">
      <alignment horizontal="center"/>
    </xf>
    <xf numFmtId="0" fontId="11" fillId="0" borderId="3" xfId="2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NumberFormat="1" applyFont="1" applyBorder="1" applyAlignment="1">
      <alignment horizontal="center" wrapText="1"/>
    </xf>
    <xf numFmtId="0" fontId="11" fillId="0" borderId="3" xfId="0" quotePrefix="1" applyNumberFormat="1" applyFont="1" applyBorder="1" applyAlignment="1">
      <alignment horizontal="center" wrapText="1"/>
    </xf>
    <xf numFmtId="0" fontId="11" fillId="6" borderId="3" xfId="2" applyFont="1" applyFill="1" applyBorder="1" applyAlignment="1">
      <alignment horizontal="center"/>
    </xf>
    <xf numFmtId="0" fontId="12" fillId="0" borderId="4" xfId="3" applyFont="1" applyFill="1" applyBorder="1" applyAlignment="1">
      <alignment horizontal="right" wrapText="1"/>
    </xf>
    <xf numFmtId="0" fontId="12" fillId="0" borderId="4" xfId="3" applyFont="1" applyFill="1" applyBorder="1" applyAlignment="1">
      <alignment wrapText="1"/>
    </xf>
    <xf numFmtId="0" fontId="12" fillId="7" borderId="2" xfId="3" applyFont="1" applyFill="1" applyBorder="1" applyAlignment="1">
      <alignment horizontal="center"/>
    </xf>
    <xf numFmtId="0" fontId="0" fillId="3" borderId="2" xfId="0" applyFill="1" applyBorder="1"/>
    <xf numFmtId="0" fontId="0" fillId="4" borderId="2" xfId="0" applyFill="1" applyBorder="1"/>
    <xf numFmtId="0" fontId="0" fillId="0" borderId="2" xfId="0" applyFill="1" applyBorder="1"/>
    <xf numFmtId="0" fontId="12" fillId="7" borderId="5" xfId="3" applyFont="1" applyFill="1" applyBorder="1" applyAlignment="1">
      <alignment horizontal="center"/>
    </xf>
    <xf numFmtId="0" fontId="12" fillId="0" borderId="6" xfId="3" applyFont="1" applyFill="1" applyBorder="1" applyAlignment="1">
      <alignment wrapText="1"/>
    </xf>
    <xf numFmtId="0" fontId="11" fillId="3" borderId="3" xfId="0" applyNumberFormat="1" applyFont="1" applyFill="1" applyBorder="1" applyAlignment="1">
      <alignment horizontal="center" wrapText="1"/>
    </xf>
    <xf numFmtId="0" fontId="11" fillId="4" borderId="3" xfId="0" applyNumberFormat="1" applyFont="1" applyFill="1" applyBorder="1" applyAlignment="1">
      <alignment horizontal="center" wrapText="1"/>
    </xf>
    <xf numFmtId="0" fontId="12" fillId="2" borderId="7" xfId="1" applyFont="1" applyFill="1" applyBorder="1" applyAlignment="1">
      <alignment horizontal="center"/>
    </xf>
    <xf numFmtId="0" fontId="12" fillId="6" borderId="7" xfId="1" applyFont="1" applyFill="1" applyBorder="1" applyAlignment="1">
      <alignment horizontal="center"/>
    </xf>
    <xf numFmtId="0" fontId="12" fillId="8" borderId="1" xfId="1" applyFont="1" applyFill="1" applyBorder="1" applyAlignment="1">
      <alignment horizontal="right" wrapText="1"/>
    </xf>
    <xf numFmtId="0" fontId="12" fillId="9" borderId="1" xfId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13" fillId="0" borderId="0" xfId="0" applyFont="1"/>
    <xf numFmtId="9" fontId="0" fillId="0" borderId="0" xfId="4" applyFont="1"/>
    <xf numFmtId="0" fontId="13" fillId="10" borderId="0" xfId="0" applyFont="1" applyFill="1"/>
    <xf numFmtId="0" fontId="0" fillId="10" borderId="0" xfId="0" applyFill="1"/>
    <xf numFmtId="0" fontId="0" fillId="12" borderId="0" xfId="0" applyFill="1"/>
    <xf numFmtId="0" fontId="0" fillId="13" borderId="0" xfId="0" applyFill="1"/>
    <xf numFmtId="1" fontId="0" fillId="0" borderId="0" xfId="0" applyNumberFormat="1"/>
    <xf numFmtId="0" fontId="9" fillId="0" borderId="0" xfId="0" applyFont="1"/>
    <xf numFmtId="0" fontId="10" fillId="0" borderId="0" xfId="0" applyFont="1"/>
    <xf numFmtId="0" fontId="20" fillId="0" borderId="0" xfId="0" applyFont="1"/>
    <xf numFmtId="1" fontId="20" fillId="0" borderId="0" xfId="0" applyNumberFormat="1" applyFont="1"/>
    <xf numFmtId="1" fontId="20" fillId="0" borderId="0" xfId="5" applyNumberFormat="1" applyFont="1" applyFill="1"/>
    <xf numFmtId="1" fontId="20" fillId="0" borderId="0" xfId="5" applyNumberFormat="1" applyFont="1" applyFill="1" applyAlignment="1">
      <alignment horizontal="left"/>
    </xf>
    <xf numFmtId="0" fontId="20" fillId="0" borderId="0" xfId="0" applyFont="1" applyAlignment="1">
      <alignment horizontal="right"/>
    </xf>
    <xf numFmtId="1" fontId="13" fillId="0" borderId="0" xfId="0" applyNumberFormat="1" applyFont="1"/>
    <xf numFmtId="0" fontId="13" fillId="0" borderId="0" xfId="0" applyFont="1" applyFill="1"/>
    <xf numFmtId="1" fontId="13" fillId="0" borderId="0" xfId="5" applyNumberFormat="1" applyFont="1" applyFill="1"/>
    <xf numFmtId="1" fontId="21" fillId="0" borderId="0" xfId="0" applyNumberFormat="1" applyFont="1" applyBorder="1"/>
    <xf numFmtId="0" fontId="21" fillId="0" borderId="0" xfId="0" applyFont="1" applyFill="1"/>
    <xf numFmtId="1" fontId="21" fillId="0" borderId="0" xfId="5" applyNumberFormat="1" applyFont="1" applyFill="1" applyBorder="1"/>
    <xf numFmtId="1" fontId="21" fillId="0" borderId="0" xfId="0" applyNumberFormat="1" applyFont="1"/>
    <xf numFmtId="0" fontId="21" fillId="0" borderId="0" xfId="0" applyFont="1"/>
    <xf numFmtId="0" fontId="22" fillId="0" borderId="0" xfId="0" applyFont="1"/>
    <xf numFmtId="1" fontId="23" fillId="0" borderId="0" xfId="0" applyNumberFormat="1" applyFont="1"/>
    <xf numFmtId="0" fontId="23" fillId="0" borderId="0" xfId="5" applyFont="1" applyFill="1"/>
    <xf numFmtId="1" fontId="23" fillId="0" borderId="0" xfId="5" applyNumberFormat="1" applyFont="1" applyFill="1"/>
    <xf numFmtId="0" fontId="23" fillId="0" borderId="0" xfId="0" applyFont="1"/>
    <xf numFmtId="1" fontId="21" fillId="0" borderId="0" xfId="5" applyNumberFormat="1" applyFont="1" applyFill="1"/>
    <xf numFmtId="0" fontId="9" fillId="0" borderId="0" xfId="7" applyAlignment="1">
      <alignment horizontal="right"/>
    </xf>
    <xf numFmtId="0" fontId="9" fillId="0" borderId="0" xfId="0" applyFont="1" applyAlignment="1">
      <alignment horizontal="right"/>
    </xf>
    <xf numFmtId="0" fontId="9" fillId="10" borderId="0" xfId="0" applyFont="1" applyFill="1"/>
    <xf numFmtId="0" fontId="9" fillId="10" borderId="0" xfId="0" applyFont="1" applyFill="1" applyAlignment="1">
      <alignment horizontal="right"/>
    </xf>
    <xf numFmtId="0" fontId="10" fillId="10" borderId="0" xfId="0" applyFont="1" applyFill="1" applyAlignment="1">
      <alignment horizontal="left"/>
    </xf>
    <xf numFmtId="1" fontId="9" fillId="10" borderId="0" xfId="0" applyNumberFormat="1" applyFont="1" applyFill="1" applyAlignment="1">
      <alignment horizontal="right"/>
    </xf>
    <xf numFmtId="0" fontId="25" fillId="10" borderId="0" xfId="0" applyFont="1" applyFill="1"/>
    <xf numFmtId="0" fontId="9" fillId="0" borderId="0" xfId="0" applyFont="1" applyAlignment="1">
      <alignment horizontal="right"/>
    </xf>
    <xf numFmtId="0" fontId="10" fillId="10" borderId="0" xfId="0" applyFont="1" applyFill="1"/>
    <xf numFmtId="0" fontId="10" fillId="10" borderId="0" xfId="0" applyFont="1" applyFill="1" applyAlignment="1">
      <alignment horizontal="center"/>
    </xf>
    <xf numFmtId="0" fontId="13" fillId="15" borderId="0" xfId="0" applyFont="1" applyFill="1"/>
    <xf numFmtId="0" fontId="25" fillId="15" borderId="0" xfId="0" applyFont="1" applyFill="1" applyAlignment="1">
      <alignment horizontal="center"/>
    </xf>
    <xf numFmtId="0" fontId="0" fillId="15" borderId="0" xfId="0" applyFill="1"/>
    <xf numFmtId="0" fontId="26" fillId="15" borderId="0" xfId="0" applyFont="1" applyFill="1"/>
    <xf numFmtId="0" fontId="9" fillId="15" borderId="0" xfId="0" applyFont="1" applyFill="1"/>
    <xf numFmtId="0" fontId="10" fillId="15" borderId="0" xfId="0" applyFont="1" applyFill="1"/>
    <xf numFmtId="0" fontId="25" fillId="15" borderId="0" xfId="0" applyFont="1" applyFill="1"/>
    <xf numFmtId="0" fontId="9" fillId="15" borderId="0" xfId="0" applyFont="1" applyFill="1" applyAlignment="1">
      <alignment horizontal="right"/>
    </xf>
    <xf numFmtId="1" fontId="9" fillId="15" borderId="0" xfId="0" applyNumberFormat="1" applyFont="1" applyFill="1" applyAlignment="1">
      <alignment horizontal="right"/>
    </xf>
    <xf numFmtId="0" fontId="10" fillId="15" borderId="0" xfId="0" applyFont="1" applyFill="1" applyAlignment="1">
      <alignment horizontal="left"/>
    </xf>
    <xf numFmtId="0" fontId="10" fillId="15" borderId="0" xfId="0" applyFont="1" applyFill="1" applyAlignment="1">
      <alignment horizontal="center"/>
    </xf>
    <xf numFmtId="0" fontId="9" fillId="0" borderId="0" xfId="0" applyFont="1" applyAlignment="1">
      <alignment horizontal="right"/>
    </xf>
    <xf numFmtId="167" fontId="13" fillId="10" borderId="0" xfId="0" applyNumberFormat="1" applyFont="1" applyFill="1" applyBorder="1"/>
    <xf numFmtId="0" fontId="0" fillId="14" borderId="0" xfId="0" applyFill="1"/>
    <xf numFmtId="0" fontId="28" fillId="14" borderId="0" xfId="0" applyFont="1" applyFill="1" applyAlignment="1">
      <alignment horizontal="center" vertical="top" readingOrder="1"/>
    </xf>
    <xf numFmtId="0" fontId="0" fillId="14" borderId="0" xfId="0" applyFill="1" applyAlignment="1">
      <alignment horizontal="right" vertical="center"/>
    </xf>
    <xf numFmtId="0" fontId="0" fillId="14" borderId="0" xfId="0" applyFill="1" applyAlignment="1">
      <alignment horizontal="center"/>
    </xf>
    <xf numFmtId="0" fontId="26" fillId="0" borderId="0" xfId="9" applyFont="1"/>
    <xf numFmtId="0" fontId="9" fillId="0" borderId="0" xfId="9"/>
    <xf numFmtId="0" fontId="9" fillId="0" borderId="0" xfId="9" applyFont="1"/>
    <xf numFmtId="0" fontId="9" fillId="14" borderId="0" xfId="9" applyFill="1"/>
    <xf numFmtId="0" fontId="28" fillId="14" borderId="0" xfId="9" applyFont="1" applyFill="1" applyAlignment="1">
      <alignment horizontal="center" vertical="top" readingOrder="1"/>
    </xf>
    <xf numFmtId="0" fontId="9" fillId="14" borderId="0" xfId="9" applyFill="1" applyAlignment="1">
      <alignment horizontal="right" vertical="center"/>
    </xf>
    <xf numFmtId="0" fontId="9" fillId="0" borderId="0" xfId="9" applyFont="1" applyAlignment="1">
      <alignment horizontal="right"/>
    </xf>
    <xf numFmtId="0" fontId="9" fillId="0" borderId="0" xfId="4" applyNumberFormat="1" applyFont="1"/>
    <xf numFmtId="0" fontId="9" fillId="14" borderId="0" xfId="9" applyFill="1" applyAlignment="1">
      <alignment horizontal="center"/>
    </xf>
    <xf numFmtId="0" fontId="10" fillId="3" borderId="2" xfId="9" applyFont="1" applyFill="1" applyBorder="1" applyAlignment="1">
      <alignment horizontal="center"/>
    </xf>
    <xf numFmtId="0" fontId="12" fillId="2" borderId="36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right" wrapText="1"/>
    </xf>
    <xf numFmtId="0" fontId="12" fillId="4" borderId="1" xfId="1" applyFont="1" applyFill="1" applyBorder="1" applyAlignment="1">
      <alignment horizontal="right" wrapText="1"/>
    </xf>
    <xf numFmtId="0" fontId="9" fillId="10" borderId="0" xfId="0" applyFont="1" applyFill="1" applyAlignment="1">
      <alignment horizontal="left"/>
    </xf>
    <xf numFmtId="10" fontId="0" fillId="0" borderId="0" xfId="4" applyNumberFormat="1" applyFont="1"/>
    <xf numFmtId="0" fontId="30" fillId="14" borderId="10" xfId="0" applyFont="1" applyFill="1" applyBorder="1"/>
    <xf numFmtId="167" fontId="30" fillId="14" borderId="10" xfId="0" applyNumberFormat="1" applyFont="1" applyFill="1" applyBorder="1"/>
    <xf numFmtId="0" fontId="30" fillId="10" borderId="10" xfId="0" applyFont="1" applyFill="1" applyBorder="1"/>
    <xf numFmtId="0" fontId="30" fillId="10" borderId="8" xfId="0" applyFont="1" applyFill="1" applyBorder="1"/>
    <xf numFmtId="166" fontId="30" fillId="14" borderId="10" xfId="0" applyNumberFormat="1" applyFont="1" applyFill="1" applyBorder="1" applyAlignment="1">
      <alignment horizontal="right"/>
    </xf>
    <xf numFmtId="167" fontId="30" fillId="14" borderId="10" xfId="0" applyNumberFormat="1" applyFont="1" applyFill="1" applyBorder="1" applyAlignment="1">
      <alignment horizontal="right"/>
    </xf>
    <xf numFmtId="0" fontId="30" fillId="14" borderId="2" xfId="0" applyFont="1" applyFill="1" applyBorder="1"/>
    <xf numFmtId="0" fontId="30" fillId="15" borderId="2" xfId="0" applyFont="1" applyFill="1" applyBorder="1"/>
    <xf numFmtId="0" fontId="30" fillId="15" borderId="10" xfId="0" applyFont="1" applyFill="1" applyBorder="1"/>
    <xf numFmtId="166" fontId="30" fillId="15" borderId="2" xfId="0" applyNumberFormat="1" applyFont="1" applyFill="1" applyBorder="1" applyAlignment="1">
      <alignment horizontal="right"/>
    </xf>
    <xf numFmtId="167" fontId="30" fillId="15" borderId="2" xfId="0" applyNumberFormat="1" applyFont="1" applyFill="1" applyBorder="1" applyAlignment="1">
      <alignment horizontal="right"/>
    </xf>
    <xf numFmtId="167" fontId="30" fillId="15" borderId="2" xfId="0" applyNumberFormat="1" applyFont="1" applyFill="1" applyBorder="1"/>
    <xf numFmtId="0" fontId="30" fillId="15" borderId="10" xfId="0" applyFont="1" applyFill="1" applyBorder="1" applyAlignment="1">
      <alignment wrapText="1"/>
    </xf>
    <xf numFmtId="0" fontId="30" fillId="15" borderId="8" xfId="0" applyFont="1" applyFill="1" applyBorder="1"/>
    <xf numFmtId="166" fontId="30" fillId="15" borderId="8" xfId="0" applyNumberFormat="1" applyFont="1" applyFill="1" applyBorder="1" applyAlignment="1">
      <alignment horizontal="right"/>
    </xf>
    <xf numFmtId="167" fontId="30" fillId="15" borderId="8" xfId="0" applyNumberFormat="1" applyFont="1" applyFill="1" applyBorder="1" applyAlignment="1">
      <alignment horizontal="right"/>
    </xf>
    <xf numFmtId="167" fontId="30" fillId="15" borderId="8" xfId="0" applyNumberFormat="1" applyFont="1" applyFill="1" applyBorder="1"/>
    <xf numFmtId="166" fontId="30" fillId="14" borderId="10" xfId="0" applyNumberFormat="1" applyFont="1" applyFill="1" applyBorder="1"/>
    <xf numFmtId="0" fontId="30" fillId="10" borderId="10" xfId="0" applyFont="1" applyFill="1" applyBorder="1" applyAlignment="1">
      <alignment wrapText="1"/>
    </xf>
    <xf numFmtId="166" fontId="30" fillId="10" borderId="10" xfId="0" applyNumberFormat="1" applyFont="1" applyFill="1" applyBorder="1"/>
    <xf numFmtId="0" fontId="30" fillId="10" borderId="8" xfId="0" applyFont="1" applyFill="1" applyBorder="1" applyAlignment="1">
      <alignment wrapText="1"/>
    </xf>
    <xf numFmtId="166" fontId="30" fillId="10" borderId="8" xfId="0" applyNumberFormat="1" applyFont="1" applyFill="1" applyBorder="1"/>
    <xf numFmtId="166" fontId="30" fillId="15" borderId="10" xfId="0" applyNumberFormat="1" applyFont="1" applyFill="1" applyBorder="1"/>
    <xf numFmtId="0" fontId="30" fillId="15" borderId="8" xfId="0" applyFont="1" applyFill="1" applyBorder="1" applyAlignment="1">
      <alignment wrapText="1"/>
    </xf>
    <xf numFmtId="166" fontId="30" fillId="15" borderId="8" xfId="0" applyNumberFormat="1" applyFont="1" applyFill="1" applyBorder="1"/>
    <xf numFmtId="166" fontId="30" fillId="14" borderId="2" xfId="0" applyNumberFormat="1" applyFont="1" applyFill="1" applyBorder="1"/>
    <xf numFmtId="166" fontId="30" fillId="10" borderId="2" xfId="0" applyNumberFormat="1" applyFont="1" applyFill="1" applyBorder="1"/>
    <xf numFmtId="0" fontId="30" fillId="15" borderId="2" xfId="0" applyFont="1" applyFill="1" applyBorder="1" applyAlignment="1">
      <alignment wrapText="1"/>
    </xf>
    <xf numFmtId="166" fontId="30" fillId="15" borderId="2" xfId="0" applyNumberFormat="1" applyFont="1" applyFill="1" applyBorder="1"/>
    <xf numFmtId="0" fontId="0" fillId="0" borderId="0" xfId="0" applyFill="1" applyBorder="1"/>
    <xf numFmtId="0" fontId="30" fillId="0" borderId="0" xfId="0" applyFont="1" applyFill="1" applyBorder="1" applyAlignment="1">
      <alignment wrapText="1"/>
    </xf>
    <xf numFmtId="168" fontId="30" fillId="0" borderId="0" xfId="0" applyNumberFormat="1" applyFont="1" applyFill="1" applyBorder="1" applyAlignment="1">
      <alignment horizontal="right"/>
    </xf>
    <xf numFmtId="0" fontId="35" fillId="14" borderId="10" xfId="0" applyFont="1" applyFill="1" applyBorder="1"/>
    <xf numFmtId="166" fontId="35" fillId="14" borderId="2" xfId="0" applyNumberFormat="1" applyFont="1" applyFill="1" applyBorder="1" applyAlignment="1">
      <alignment horizontal="right"/>
    </xf>
    <xf numFmtId="167" fontId="35" fillId="14" borderId="2" xfId="0" applyNumberFormat="1" applyFont="1" applyFill="1" applyBorder="1" applyAlignment="1">
      <alignment horizontal="right"/>
    </xf>
    <xf numFmtId="167" fontId="35" fillId="14" borderId="2" xfId="0" applyNumberFormat="1" applyFont="1" applyFill="1" applyBorder="1"/>
    <xf numFmtId="167" fontId="35" fillId="14" borderId="10" xfId="0" applyNumberFormat="1" applyFont="1" applyFill="1" applyBorder="1"/>
    <xf numFmtId="0" fontId="35" fillId="10" borderId="10" xfId="0" applyFont="1" applyFill="1" applyBorder="1"/>
    <xf numFmtId="166" fontId="35" fillId="10" borderId="10" xfId="0" applyNumberFormat="1" applyFont="1" applyFill="1" applyBorder="1" applyAlignment="1">
      <alignment horizontal="right"/>
    </xf>
    <xf numFmtId="167" fontId="35" fillId="10" borderId="10" xfId="0" applyNumberFormat="1" applyFont="1" applyFill="1" applyBorder="1" applyAlignment="1">
      <alignment horizontal="right"/>
    </xf>
    <xf numFmtId="167" fontId="35" fillId="10" borderId="10" xfId="0" applyNumberFormat="1" applyFont="1" applyFill="1" applyBorder="1"/>
    <xf numFmtId="0" fontId="35" fillId="10" borderId="8" xfId="0" applyFont="1" applyFill="1" applyBorder="1"/>
    <xf numFmtId="166" fontId="35" fillId="10" borderId="8" xfId="0" applyNumberFormat="1" applyFont="1" applyFill="1" applyBorder="1" applyAlignment="1">
      <alignment horizontal="right"/>
    </xf>
    <xf numFmtId="167" fontId="35" fillId="10" borderId="8" xfId="0" applyNumberFormat="1" applyFont="1" applyFill="1" applyBorder="1" applyAlignment="1">
      <alignment horizontal="right"/>
    </xf>
    <xf numFmtId="167" fontId="35" fillId="10" borderId="8" xfId="0" applyNumberFormat="1" applyFont="1" applyFill="1" applyBorder="1"/>
    <xf numFmtId="166" fontId="35" fillId="14" borderId="10" xfId="0" applyNumberFormat="1" applyFont="1" applyFill="1" applyBorder="1" applyAlignment="1">
      <alignment horizontal="right"/>
    </xf>
    <xf numFmtId="167" fontId="35" fillId="14" borderId="10" xfId="0" applyNumberFormat="1" applyFont="1" applyFill="1" applyBorder="1" applyAlignment="1">
      <alignment horizontal="right"/>
    </xf>
    <xf numFmtId="0" fontId="34" fillId="12" borderId="11" xfId="0" applyFont="1" applyFill="1" applyBorder="1" applyAlignment="1">
      <alignment horizontal="center"/>
    </xf>
    <xf numFmtId="0" fontId="35" fillId="0" borderId="10" xfId="0" applyFont="1" applyFill="1" applyBorder="1"/>
    <xf numFmtId="166" fontId="35" fillId="0" borderId="10" xfId="0" applyNumberFormat="1" applyFont="1" applyFill="1" applyBorder="1" applyAlignment="1">
      <alignment horizontal="right"/>
    </xf>
    <xf numFmtId="167" fontId="35" fillId="0" borderId="10" xfId="0" applyNumberFormat="1" applyFont="1" applyFill="1" applyBorder="1" applyAlignment="1">
      <alignment horizontal="right"/>
    </xf>
    <xf numFmtId="167" fontId="35" fillId="0" borderId="10" xfId="0" applyNumberFormat="1" applyFont="1" applyFill="1" applyBorder="1"/>
    <xf numFmtId="0" fontId="35" fillId="0" borderId="8" xfId="0" applyFont="1" applyFill="1" applyBorder="1"/>
    <xf numFmtId="0" fontId="35" fillId="14" borderId="2" xfId="0" applyFont="1" applyFill="1" applyBorder="1"/>
    <xf numFmtId="0" fontId="35" fillId="0" borderId="2" xfId="0" applyFont="1" applyFill="1" applyBorder="1"/>
    <xf numFmtId="166" fontId="35" fillId="0" borderId="2" xfId="0" applyNumberFormat="1" applyFont="1" applyFill="1" applyBorder="1" applyAlignment="1">
      <alignment horizontal="right"/>
    </xf>
    <xf numFmtId="167" fontId="35" fillId="0" borderId="2" xfId="0" applyNumberFormat="1" applyFont="1" applyFill="1" applyBorder="1" applyAlignment="1">
      <alignment horizontal="right"/>
    </xf>
    <xf numFmtId="167" fontId="35" fillId="0" borderId="2" xfId="0" applyNumberFormat="1" applyFont="1" applyFill="1" applyBorder="1"/>
    <xf numFmtId="166" fontId="35" fillId="14" borderId="20" xfId="0" applyNumberFormat="1" applyFont="1" applyFill="1" applyBorder="1"/>
    <xf numFmtId="165" fontId="35" fillId="14" borderId="21" xfId="0" applyNumberFormat="1" applyFont="1" applyFill="1" applyBorder="1"/>
    <xf numFmtId="166" fontId="35" fillId="14" borderId="15" xfId="0" applyNumberFormat="1" applyFont="1" applyFill="1" applyBorder="1"/>
    <xf numFmtId="165" fontId="35" fillId="14" borderId="13" xfId="0" applyNumberFormat="1" applyFont="1" applyFill="1" applyBorder="1"/>
    <xf numFmtId="165" fontId="35" fillId="14" borderId="10" xfId="0" applyNumberFormat="1" applyFont="1" applyFill="1" applyBorder="1"/>
    <xf numFmtId="0" fontId="34" fillId="12" borderId="18" xfId="0" applyFont="1" applyFill="1" applyBorder="1" applyAlignment="1">
      <alignment horizontal="center"/>
    </xf>
    <xf numFmtId="0" fontId="34" fillId="12" borderId="19" xfId="0" applyFont="1" applyFill="1" applyBorder="1" applyAlignment="1">
      <alignment horizontal="center"/>
    </xf>
    <xf numFmtId="0" fontId="34" fillId="12" borderId="14" xfId="0" applyFont="1" applyFill="1" applyBorder="1" applyAlignment="1">
      <alignment horizontal="center"/>
    </xf>
    <xf numFmtId="0" fontId="34" fillId="12" borderId="12" xfId="0" applyFont="1" applyFill="1" applyBorder="1" applyAlignment="1">
      <alignment horizontal="center"/>
    </xf>
    <xf numFmtId="166" fontId="35" fillId="0" borderId="20" xfId="0" applyNumberFormat="1" applyFont="1" applyFill="1" applyBorder="1"/>
    <xf numFmtId="165" fontId="35" fillId="0" borderId="21" xfId="0" applyNumberFormat="1" applyFont="1" applyFill="1" applyBorder="1"/>
    <xf numFmtId="166" fontId="35" fillId="0" borderId="15" xfId="0" applyNumberFormat="1" applyFont="1" applyFill="1" applyBorder="1"/>
    <xf numFmtId="165" fontId="35" fillId="0" borderId="13" xfId="0" applyNumberFormat="1" applyFont="1" applyFill="1" applyBorder="1"/>
    <xf numFmtId="165" fontId="35" fillId="0" borderId="10" xfId="0" applyNumberFormat="1" applyFont="1" applyFill="1" applyBorder="1"/>
    <xf numFmtId="166" fontId="35" fillId="14" borderId="2" xfId="0" applyNumberFormat="1" applyFont="1" applyFill="1" applyBorder="1"/>
    <xf numFmtId="0" fontId="34" fillId="12" borderId="11" xfId="0" applyFont="1" applyFill="1" applyBorder="1" applyAlignment="1">
      <alignment horizontal="left"/>
    </xf>
    <xf numFmtId="166" fontId="35" fillId="0" borderId="2" xfId="0" applyNumberFormat="1" applyFont="1" applyFill="1" applyBorder="1"/>
    <xf numFmtId="166" fontId="35" fillId="0" borderId="8" xfId="0" applyNumberFormat="1" applyFont="1" applyFill="1" applyBorder="1"/>
    <xf numFmtId="0" fontId="34" fillId="12" borderId="11" xfId="0" applyFont="1" applyFill="1" applyBorder="1"/>
    <xf numFmtId="0" fontId="35" fillId="0" borderId="10" xfId="0" applyFont="1" applyFill="1" applyBorder="1" applyAlignment="1">
      <alignment wrapText="1"/>
    </xf>
    <xf numFmtId="166" fontId="35" fillId="0" borderId="10" xfId="0" applyNumberFormat="1" applyFont="1" applyFill="1" applyBorder="1"/>
    <xf numFmtId="0" fontId="35" fillId="0" borderId="8" xfId="0" applyFont="1" applyFill="1" applyBorder="1" applyAlignment="1">
      <alignment wrapText="1"/>
    </xf>
    <xf numFmtId="0" fontId="35" fillId="0" borderId="2" xfId="0" applyFont="1" applyFill="1" applyBorder="1" applyAlignment="1">
      <alignment wrapText="1"/>
    </xf>
    <xf numFmtId="0" fontId="34" fillId="12" borderId="11" xfId="0" applyFont="1" applyFill="1" applyBorder="1" applyAlignment="1">
      <alignment vertical="center"/>
    </xf>
    <xf numFmtId="0" fontId="36" fillId="12" borderId="11" xfId="0" applyFont="1" applyFill="1" applyBorder="1" applyAlignment="1">
      <alignment vertical="center"/>
    </xf>
    <xf numFmtId="0" fontId="34" fillId="12" borderId="11" xfId="0" applyFont="1" applyFill="1" applyBorder="1" applyAlignment="1">
      <alignment horizontal="center" vertical="center" wrapText="1"/>
    </xf>
    <xf numFmtId="0" fontId="35" fillId="14" borderId="10" xfId="0" applyFont="1" applyFill="1" applyBorder="1" applyAlignment="1">
      <alignment wrapText="1"/>
    </xf>
    <xf numFmtId="0" fontId="13" fillId="10" borderId="0" xfId="9" applyFont="1" applyFill="1"/>
    <xf numFmtId="0" fontId="13" fillId="0" borderId="0" xfId="9" applyFont="1"/>
    <xf numFmtId="0" fontId="9" fillId="10" borderId="0" xfId="9" applyFont="1" applyFill="1"/>
    <xf numFmtId="0" fontId="10" fillId="10" borderId="0" xfId="9" applyFont="1" applyFill="1"/>
    <xf numFmtId="1" fontId="13" fillId="10" borderId="0" xfId="9" applyNumberFormat="1" applyFont="1" applyFill="1"/>
    <xf numFmtId="0" fontId="35" fillId="14" borderId="10" xfId="9" applyFont="1" applyFill="1" applyBorder="1"/>
    <xf numFmtId="0" fontId="35" fillId="14" borderId="2" xfId="9" applyFont="1" applyFill="1" applyBorder="1"/>
    <xf numFmtId="0" fontId="35" fillId="10" borderId="8" xfId="9" applyFont="1" applyFill="1" applyBorder="1"/>
    <xf numFmtId="0" fontId="35" fillId="10" borderId="8" xfId="9" applyFont="1" applyFill="1" applyBorder="1" applyAlignment="1">
      <alignment wrapText="1"/>
    </xf>
    <xf numFmtId="167" fontId="35" fillId="10" borderId="8" xfId="9" applyNumberFormat="1" applyFont="1" applyFill="1" applyBorder="1"/>
    <xf numFmtId="0" fontId="13" fillId="15" borderId="0" xfId="9" applyFont="1" applyFill="1"/>
    <xf numFmtId="0" fontId="9" fillId="15" borderId="0" xfId="9" applyFont="1" applyFill="1"/>
    <xf numFmtId="0" fontId="10" fillId="15" borderId="0" xfId="9" applyFont="1" applyFill="1"/>
    <xf numFmtId="1" fontId="13" fillId="15" borderId="0" xfId="9" applyNumberFormat="1" applyFont="1" applyFill="1"/>
    <xf numFmtId="0" fontId="35" fillId="15" borderId="8" xfId="9" applyFont="1" applyFill="1" applyBorder="1"/>
    <xf numFmtId="0" fontId="35" fillId="15" borderId="8" xfId="9" applyFont="1" applyFill="1" applyBorder="1" applyAlignment="1">
      <alignment wrapText="1"/>
    </xf>
    <xf numFmtId="167" fontId="35" fillId="15" borderId="8" xfId="9" applyNumberFormat="1" applyFont="1" applyFill="1" applyBorder="1"/>
    <xf numFmtId="0" fontId="34" fillId="12" borderId="11" xfId="9" applyFont="1" applyFill="1" applyBorder="1"/>
    <xf numFmtId="0" fontId="34" fillId="12" borderId="11" xfId="9" applyFont="1" applyFill="1" applyBorder="1" applyAlignment="1"/>
    <xf numFmtId="0" fontId="35" fillId="0" borderId="10" xfId="9" applyFont="1" applyFill="1" applyBorder="1"/>
    <xf numFmtId="0" fontId="35" fillId="0" borderId="10" xfId="9" applyFont="1" applyFill="1" applyBorder="1" applyAlignment="1">
      <alignment wrapText="1"/>
    </xf>
    <xf numFmtId="0" fontId="35" fillId="0" borderId="8" xfId="9" applyFont="1" applyFill="1" applyBorder="1"/>
    <xf numFmtId="0" fontId="35" fillId="0" borderId="8" xfId="9" applyFont="1" applyFill="1" applyBorder="1" applyAlignment="1">
      <alignment wrapText="1"/>
    </xf>
    <xf numFmtId="169" fontId="35" fillId="14" borderId="2" xfId="9" applyNumberFormat="1" applyFont="1" applyFill="1" applyBorder="1"/>
    <xf numFmtId="169" fontId="35" fillId="0" borderId="2" xfId="9" applyNumberFormat="1" applyFont="1" applyFill="1" applyBorder="1"/>
    <xf numFmtId="169" fontId="35" fillId="0" borderId="10" xfId="9" applyNumberFormat="1" applyFont="1" applyFill="1" applyBorder="1"/>
    <xf numFmtId="169" fontId="35" fillId="0" borderId="8" xfId="9" applyNumberFormat="1" applyFont="1" applyFill="1" applyBorder="1"/>
    <xf numFmtId="169" fontId="35" fillId="14" borderId="10" xfId="9" applyNumberFormat="1" applyFont="1" applyFill="1" applyBorder="1"/>
    <xf numFmtId="0" fontId="28" fillId="14" borderId="0" xfId="0" applyFont="1" applyFill="1" applyAlignment="1">
      <alignment horizontal="center" vertical="top" readingOrder="1"/>
    </xf>
    <xf numFmtId="0" fontId="9" fillId="0" borderId="0" xfId="0" applyFont="1" applyAlignment="1">
      <alignment horizontal="right"/>
    </xf>
    <xf numFmtId="0" fontId="28" fillId="14" borderId="0" xfId="9" applyFont="1" applyFill="1" applyAlignment="1">
      <alignment horizontal="center" vertical="top" readingOrder="1"/>
    </xf>
    <xf numFmtId="0" fontId="0" fillId="16" borderId="0" xfId="0" applyFill="1"/>
    <xf numFmtId="0" fontId="0" fillId="17" borderId="0" xfId="0" applyFill="1"/>
    <xf numFmtId="0" fontId="35" fillId="17" borderId="10" xfId="0" applyFont="1" applyFill="1" applyBorder="1"/>
    <xf numFmtId="167" fontId="35" fillId="17" borderId="10" xfId="0" applyNumberFormat="1" applyFont="1" applyFill="1" applyBorder="1" applyAlignment="1">
      <alignment horizontal="right"/>
    </xf>
    <xf numFmtId="167" fontId="35" fillId="17" borderId="10" xfId="0" applyNumberFormat="1" applyFont="1" applyFill="1" applyBorder="1"/>
    <xf numFmtId="0" fontId="9" fillId="17" borderId="0" xfId="0" applyFont="1" applyFill="1" applyAlignment="1">
      <alignment horizontal="right"/>
    </xf>
    <xf numFmtId="0" fontId="21" fillId="10" borderId="0" xfId="0" applyFont="1" applyFill="1" applyBorder="1" applyAlignment="1">
      <alignment horizontal="center"/>
    </xf>
    <xf numFmtId="166" fontId="35" fillId="17" borderId="10" xfId="0" applyNumberFormat="1" applyFont="1" applyFill="1" applyBorder="1" applyAlignment="1">
      <alignment horizontal="right"/>
    </xf>
    <xf numFmtId="0" fontId="0" fillId="0" borderId="0" xfId="0" applyFill="1"/>
    <xf numFmtId="0" fontId="37" fillId="5" borderId="7" xfId="1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9" fillId="0" borderId="0" xfId="0" applyFont="1" applyFill="1" applyBorder="1"/>
    <xf numFmtId="0" fontId="10" fillId="12" borderId="0" xfId="0" applyFont="1" applyFill="1" applyAlignment="1">
      <alignment horizontal="center"/>
    </xf>
    <xf numFmtId="0" fontId="0" fillId="14" borderId="22" xfId="0" applyFill="1" applyBorder="1"/>
    <xf numFmtId="0" fontId="29" fillId="14" borderId="23" xfId="0" applyFont="1" applyFill="1" applyBorder="1"/>
    <xf numFmtId="0" fontId="26" fillId="14" borderId="23" xfId="0" applyFont="1" applyFill="1" applyBorder="1"/>
    <xf numFmtId="0" fontId="24" fillId="14" borderId="23" xfId="0" applyFont="1" applyFill="1" applyBorder="1"/>
    <xf numFmtId="0" fontId="27" fillId="14" borderId="23" xfId="0" applyFont="1" applyFill="1" applyBorder="1"/>
    <xf numFmtId="0" fontId="24" fillId="14" borderId="23" xfId="0" applyFont="1" applyFill="1" applyBorder="1" applyAlignment="1">
      <alignment horizontal="right"/>
    </xf>
    <xf numFmtId="0" fontId="24" fillId="14" borderId="24" xfId="0" applyFont="1" applyFill="1" applyBorder="1"/>
    <xf numFmtId="0" fontId="24" fillId="14" borderId="0" xfId="0" applyFont="1" applyFill="1" applyBorder="1"/>
    <xf numFmtId="0" fontId="0" fillId="14" borderId="25" xfId="0" applyFill="1" applyBorder="1"/>
    <xf numFmtId="0" fontId="0" fillId="14" borderId="0" xfId="0" applyFill="1" applyBorder="1"/>
    <xf numFmtId="0" fontId="0" fillId="14" borderId="26" xfId="0" applyFill="1" applyBorder="1"/>
    <xf numFmtId="1" fontId="17" fillId="14" borderId="0" xfId="5" applyNumberFormat="1" applyFont="1" applyFill="1" applyBorder="1"/>
    <xf numFmtId="1" fontId="17" fillId="14" borderId="0" xfId="0" applyNumberFormat="1" applyFont="1" applyFill="1" applyBorder="1"/>
    <xf numFmtId="1" fontId="16" fillId="14" borderId="0" xfId="0" applyNumberFormat="1" applyFont="1" applyFill="1" applyBorder="1"/>
    <xf numFmtId="0" fontId="0" fillId="14" borderId="27" xfId="0" applyFill="1" applyBorder="1"/>
    <xf numFmtId="0" fontId="0" fillId="14" borderId="28" xfId="0" applyFill="1" applyBorder="1"/>
    <xf numFmtId="1" fontId="16" fillId="14" borderId="28" xfId="0" applyNumberFormat="1" applyFont="1" applyFill="1" applyBorder="1"/>
    <xf numFmtId="0" fontId="0" fillId="14" borderId="29" xfId="0" applyFill="1" applyBorder="1"/>
    <xf numFmtId="1" fontId="10" fillId="14" borderId="0" xfId="0" applyNumberFormat="1" applyFont="1" applyFill="1" applyBorder="1"/>
    <xf numFmtId="0" fontId="26" fillId="14" borderId="0" xfId="0" applyFont="1" applyFill="1"/>
    <xf numFmtId="0" fontId="24" fillId="14" borderId="0" xfId="0" applyFont="1" applyFill="1"/>
    <xf numFmtId="0" fontId="10" fillId="14" borderId="0" xfId="0" applyFont="1" applyFill="1"/>
    <xf numFmtId="0" fontId="33" fillId="14" borderId="37" xfId="0" applyFont="1" applyFill="1" applyBorder="1" applyAlignment="1">
      <alignment horizontal="right" vertical="center" wrapText="1"/>
    </xf>
    <xf numFmtId="0" fontId="32" fillId="14" borderId="37" xfId="0" applyFont="1" applyFill="1" applyBorder="1" applyAlignment="1">
      <alignment horizontal="left" vertical="center" wrapText="1"/>
    </xf>
    <xf numFmtId="0" fontId="32" fillId="14" borderId="37" xfId="0" applyFont="1" applyFill="1" applyBorder="1" applyAlignment="1">
      <alignment horizontal="right" vertical="center" wrapText="1"/>
    </xf>
    <xf numFmtId="0" fontId="0" fillId="12" borderId="0" xfId="0" applyFill="1" applyBorder="1"/>
    <xf numFmtId="0" fontId="9" fillId="12" borderId="0" xfId="0" applyFont="1" applyFill="1"/>
    <xf numFmtId="0" fontId="26" fillId="12" borderId="0" xfId="0" applyFont="1" applyFill="1"/>
    <xf numFmtId="0" fontId="24" fillId="12" borderId="0" xfId="0" applyFont="1" applyFill="1"/>
    <xf numFmtId="0" fontId="10" fillId="12" borderId="0" xfId="0" applyFont="1" applyFill="1"/>
    <xf numFmtId="0" fontId="0" fillId="12" borderId="42" xfId="0" applyFill="1" applyBorder="1"/>
    <xf numFmtId="0" fontId="0" fillId="12" borderId="34" xfId="0" applyFill="1" applyBorder="1"/>
    <xf numFmtId="0" fontId="0" fillId="12" borderId="35" xfId="0" applyFill="1" applyBorder="1"/>
    <xf numFmtId="9" fontId="0" fillId="12" borderId="0" xfId="4" applyFont="1" applyFill="1" applyBorder="1"/>
    <xf numFmtId="1" fontId="16" fillId="12" borderId="0" xfId="0" applyNumberFormat="1" applyFont="1" applyFill="1" applyBorder="1"/>
    <xf numFmtId="1" fontId="16" fillId="12" borderId="35" xfId="0" applyNumberFormat="1" applyFont="1" applyFill="1" applyBorder="1"/>
    <xf numFmtId="0" fontId="0" fillId="12" borderId="13" xfId="0" applyFill="1" applyBorder="1"/>
    <xf numFmtId="0" fontId="0" fillId="12" borderId="33" xfId="0" applyFill="1" applyBorder="1"/>
    <xf numFmtId="1" fontId="10" fillId="12" borderId="33" xfId="0" applyNumberFormat="1" applyFont="1" applyFill="1" applyBorder="1"/>
    <xf numFmtId="1" fontId="10" fillId="12" borderId="15" xfId="0" applyNumberFormat="1" applyFont="1" applyFill="1" applyBorder="1"/>
    <xf numFmtId="0" fontId="16" fillId="12" borderId="34" xfId="0" applyFont="1" applyFill="1" applyBorder="1"/>
    <xf numFmtId="0" fontId="16" fillId="12" borderId="0" xfId="0" applyFont="1" applyFill="1" applyBorder="1"/>
    <xf numFmtId="9" fontId="0" fillId="12" borderId="34" xfId="4" applyFont="1" applyFill="1" applyBorder="1"/>
    <xf numFmtId="0" fontId="9" fillId="12" borderId="0" xfId="0" applyFont="1" applyFill="1" applyAlignment="1">
      <alignment horizontal="right"/>
    </xf>
    <xf numFmtId="0" fontId="24" fillId="12" borderId="0" xfId="0" applyFont="1" applyFill="1" applyAlignment="1">
      <alignment horizontal="right"/>
    </xf>
    <xf numFmtId="0" fontId="9" fillId="12" borderId="0" xfId="0" applyFont="1" applyFill="1" applyBorder="1" applyAlignment="1">
      <alignment horizontal="right"/>
    </xf>
    <xf numFmtId="1" fontId="9" fillId="12" borderId="0" xfId="0" applyNumberFormat="1" applyFont="1" applyFill="1" applyBorder="1" applyAlignment="1">
      <alignment horizontal="right"/>
    </xf>
    <xf numFmtId="0" fontId="10" fillId="12" borderId="0" xfId="0" applyFont="1" applyFill="1" applyAlignment="1">
      <alignment horizontal="right"/>
    </xf>
    <xf numFmtId="0" fontId="9" fillId="18" borderId="0" xfId="0" applyFont="1" applyFill="1"/>
    <xf numFmtId="0" fontId="25" fillId="18" borderId="0" xfId="0" applyFont="1" applyFill="1"/>
    <xf numFmtId="0" fontId="0" fillId="18" borderId="0" xfId="0" applyFill="1"/>
    <xf numFmtId="0" fontId="9" fillId="18" borderId="0" xfId="0" applyFont="1" applyFill="1" applyAlignment="1">
      <alignment horizontal="right"/>
    </xf>
    <xf numFmtId="0" fontId="10" fillId="18" borderId="0" xfId="0" applyFont="1" applyFill="1"/>
    <xf numFmtId="0" fontId="21" fillId="18" borderId="0" xfId="0" applyFont="1" applyFill="1" applyBorder="1" applyAlignment="1">
      <alignment horizontal="center"/>
    </xf>
    <xf numFmtId="1" fontId="9" fillId="18" borderId="0" xfId="0" applyNumberFormat="1" applyFont="1" applyFill="1" applyAlignment="1">
      <alignment horizontal="right"/>
    </xf>
    <xf numFmtId="167" fontId="13" fillId="18" borderId="0" xfId="0" applyNumberFormat="1" applyFont="1" applyFill="1" applyBorder="1"/>
    <xf numFmtId="0" fontId="34" fillId="11" borderId="11" xfId="0" applyFont="1" applyFill="1" applyBorder="1" applyAlignment="1">
      <alignment horizontal="center"/>
    </xf>
    <xf numFmtId="0" fontId="35" fillId="18" borderId="10" xfId="0" applyFont="1" applyFill="1" applyBorder="1"/>
    <xf numFmtId="166" fontId="35" fillId="18" borderId="2" xfId="0" applyNumberFormat="1" applyFont="1" applyFill="1" applyBorder="1" applyAlignment="1">
      <alignment horizontal="right"/>
    </xf>
    <xf numFmtId="167" fontId="35" fillId="18" borderId="10" xfId="0" applyNumberFormat="1" applyFont="1" applyFill="1" applyBorder="1" applyAlignment="1">
      <alignment horizontal="right"/>
    </xf>
    <xf numFmtId="167" fontId="35" fillId="18" borderId="10" xfId="0" applyNumberFormat="1" applyFont="1" applyFill="1" applyBorder="1"/>
    <xf numFmtId="167" fontId="35" fillId="18" borderId="2" xfId="0" applyNumberFormat="1" applyFont="1" applyFill="1" applyBorder="1" applyAlignment="1">
      <alignment horizontal="right"/>
    </xf>
    <xf numFmtId="167" fontId="35" fillId="18" borderId="2" xfId="0" applyNumberFormat="1" applyFont="1" applyFill="1" applyBorder="1"/>
    <xf numFmtId="0" fontId="35" fillId="18" borderId="8" xfId="0" applyFont="1" applyFill="1" applyBorder="1"/>
    <xf numFmtId="166" fontId="35" fillId="18" borderId="8" xfId="0" applyNumberFormat="1" applyFont="1" applyFill="1" applyBorder="1" applyAlignment="1">
      <alignment horizontal="right"/>
    </xf>
    <xf numFmtId="167" fontId="35" fillId="18" borderId="8" xfId="0" applyNumberFormat="1" applyFont="1" applyFill="1" applyBorder="1" applyAlignment="1">
      <alignment horizontal="right"/>
    </xf>
    <xf numFmtId="167" fontId="35" fillId="18" borderId="8" xfId="0" applyNumberFormat="1" applyFont="1" applyFill="1" applyBorder="1"/>
    <xf numFmtId="0" fontId="35" fillId="15" borderId="2" xfId="0" applyFont="1" applyFill="1" applyBorder="1"/>
    <xf numFmtId="0" fontId="35" fillId="15" borderId="10" xfId="0" applyFont="1" applyFill="1" applyBorder="1"/>
    <xf numFmtId="166" fontId="35" fillId="15" borderId="2" xfId="0" applyNumberFormat="1" applyFont="1" applyFill="1" applyBorder="1" applyAlignment="1">
      <alignment horizontal="right"/>
    </xf>
    <xf numFmtId="167" fontId="35" fillId="15" borderId="2" xfId="0" applyNumberFormat="1" applyFont="1" applyFill="1" applyBorder="1" applyAlignment="1">
      <alignment horizontal="right"/>
    </xf>
    <xf numFmtId="167" fontId="35" fillId="15" borderId="2" xfId="0" applyNumberFormat="1" applyFont="1" applyFill="1" applyBorder="1"/>
    <xf numFmtId="0" fontId="35" fillId="15" borderId="8" xfId="0" applyFont="1" applyFill="1" applyBorder="1"/>
    <xf numFmtId="166" fontId="35" fillId="15" borderId="8" xfId="0" applyNumberFormat="1" applyFont="1" applyFill="1" applyBorder="1" applyAlignment="1">
      <alignment horizontal="right"/>
    </xf>
    <xf numFmtId="167" fontId="35" fillId="15" borderId="8" xfId="0" applyNumberFormat="1" applyFont="1" applyFill="1" applyBorder="1" applyAlignment="1">
      <alignment horizontal="right"/>
    </xf>
    <xf numFmtId="167" fontId="35" fillId="15" borderId="8" xfId="0" applyNumberFormat="1" applyFont="1" applyFill="1" applyBorder="1"/>
    <xf numFmtId="1" fontId="9" fillId="0" borderId="0" xfId="12" applyNumberFormat="1" applyFont="1"/>
    <xf numFmtId="1" fontId="10" fillId="0" borderId="0" xfId="12" applyNumberFormat="1" applyFont="1"/>
    <xf numFmtId="1" fontId="9" fillId="0" borderId="0" xfId="12" applyNumberFormat="1" applyFont="1"/>
    <xf numFmtId="1" fontId="10" fillId="0" borderId="0" xfId="12" applyNumberFormat="1" applyFont="1"/>
    <xf numFmtId="0" fontId="38" fillId="0" borderId="0" xfId="0" applyFont="1"/>
    <xf numFmtId="0" fontId="5" fillId="0" borderId="0" xfId="14"/>
    <xf numFmtId="0" fontId="4" fillId="0" borderId="0" xfId="15"/>
    <xf numFmtId="0" fontId="4" fillId="0" borderId="0" xfId="15"/>
    <xf numFmtId="0" fontId="3" fillId="0" borderId="0" xfId="16"/>
    <xf numFmtId="0" fontId="0" fillId="0" borderId="0" xfId="0" applyAlignment="1" applyProtection="1">
      <alignment horizontal="right"/>
      <protection locked="0"/>
    </xf>
    <xf numFmtId="0" fontId="3" fillId="0" borderId="0" xfId="16"/>
    <xf numFmtId="0" fontId="39" fillId="0" borderId="0" xfId="0" applyFont="1" applyAlignment="1" applyProtection="1">
      <alignment horizontal="right"/>
      <protection locked="0"/>
    </xf>
    <xf numFmtId="10" fontId="0" fillId="0" borderId="0" xfId="4" quotePrefix="1" applyNumberFormat="1" applyFont="1"/>
    <xf numFmtId="0" fontId="9" fillId="14" borderId="0" xfId="0" applyFont="1" applyFill="1"/>
    <xf numFmtId="1" fontId="40" fillId="10" borderId="0" xfId="9" applyNumberFormat="1" applyFont="1" applyFill="1"/>
    <xf numFmtId="0" fontId="42" fillId="0" borderId="0" xfId="0" applyFont="1" applyAlignment="1">
      <alignment horizontal="right"/>
    </xf>
    <xf numFmtId="0" fontId="42" fillId="0" borderId="0" xfId="0" applyFont="1"/>
    <xf numFmtId="0" fontId="44" fillId="0" borderId="0" xfId="0" applyFont="1"/>
    <xf numFmtId="0" fontId="42" fillId="0" borderId="0" xfId="0" applyFont="1" applyAlignment="1">
      <alignment horizontal="right"/>
    </xf>
    <xf numFmtId="0" fontId="45" fillId="0" borderId="0" xfId="0" applyFont="1"/>
    <xf numFmtId="0" fontId="43" fillId="0" borderId="0" xfId="0" applyFont="1"/>
    <xf numFmtId="0" fontId="45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1" fontId="42" fillId="0" borderId="0" xfId="0" applyNumberFormat="1" applyFont="1"/>
    <xf numFmtId="0" fontId="42" fillId="0" borderId="0" xfId="7" applyFont="1" applyAlignment="1">
      <alignment horizontal="right"/>
    </xf>
    <xf numFmtId="0" fontId="42" fillId="0" borderId="0" xfId="0" applyFont="1" applyBorder="1" applyAlignment="1">
      <alignment horizontal="right"/>
    </xf>
    <xf numFmtId="1" fontId="42" fillId="0" borderId="0" xfId="0" applyNumberFormat="1" applyFont="1" applyAlignment="1">
      <alignment horizontal="right"/>
    </xf>
    <xf numFmtId="1" fontId="42" fillId="0" borderId="0" xfId="0" applyNumberFormat="1" applyFont="1" applyBorder="1" applyAlignment="1">
      <alignment horizontal="right"/>
    </xf>
    <xf numFmtId="0" fontId="44" fillId="0" borderId="3" xfId="0" applyNumberFormat="1" applyFont="1" applyBorder="1" applyAlignment="1">
      <alignment horizontal="center" wrapText="1"/>
    </xf>
    <xf numFmtId="0" fontId="44" fillId="0" borderId="3" xfId="0" quotePrefix="1" applyNumberFormat="1" applyFont="1" applyBorder="1" applyAlignment="1">
      <alignment horizontal="center" wrapText="1"/>
    </xf>
    <xf numFmtId="0" fontId="44" fillId="0" borderId="0" xfId="0" applyFont="1" applyAlignment="1">
      <alignment horizontal="right"/>
    </xf>
    <xf numFmtId="164" fontId="42" fillId="0" borderId="0" xfId="6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" fontId="46" fillId="0" borderId="0" xfId="0" applyNumberFormat="1" applyFont="1"/>
    <xf numFmtId="0" fontId="46" fillId="0" borderId="0" xfId="7" applyFont="1" applyAlignment="1">
      <alignment horizontal="right"/>
    </xf>
    <xf numFmtId="164" fontId="46" fillId="0" borderId="0" xfId="6" applyFont="1" applyAlignment="1">
      <alignment horizontal="center"/>
    </xf>
    <xf numFmtId="0" fontId="42" fillId="0" borderId="0" xfId="0" applyFont="1" applyFill="1" applyAlignment="1">
      <alignment horizontal="right"/>
    </xf>
    <xf numFmtId="0" fontId="42" fillId="14" borderId="0" xfId="0" applyFont="1" applyFill="1" applyAlignment="1">
      <alignment horizontal="right"/>
    </xf>
    <xf numFmtId="164" fontId="46" fillId="14" borderId="0" xfId="6" applyFont="1" applyFill="1" applyAlignment="1">
      <alignment horizontal="center"/>
    </xf>
    <xf numFmtId="1" fontId="46" fillId="14" borderId="0" xfId="0" applyNumberFormat="1" applyFont="1" applyFill="1"/>
    <xf numFmtId="0" fontId="42" fillId="0" borderId="0" xfId="9" applyFont="1"/>
    <xf numFmtId="9" fontId="42" fillId="0" borderId="0" xfId="4" applyFont="1"/>
    <xf numFmtId="0" fontId="42" fillId="0" borderId="0" xfId="9" applyFont="1" applyAlignment="1">
      <alignment horizontal="right"/>
    </xf>
    <xf numFmtId="0" fontId="42" fillId="0" borderId="0" xfId="4" applyNumberFormat="1" applyFont="1"/>
    <xf numFmtId="0" fontId="42" fillId="0" borderId="0" xfId="9" applyFont="1" applyFill="1"/>
    <xf numFmtId="9" fontId="42" fillId="0" borderId="0" xfId="9" applyNumberFormat="1" applyFont="1"/>
    <xf numFmtId="0" fontId="42" fillId="14" borderId="0" xfId="9" applyFont="1" applyFill="1"/>
    <xf numFmtId="0" fontId="42" fillId="14" borderId="0" xfId="9" applyFont="1" applyFill="1" applyAlignment="1">
      <alignment horizontal="center"/>
    </xf>
    <xf numFmtId="0" fontId="42" fillId="14" borderId="0" xfId="9" applyFont="1" applyFill="1" applyAlignment="1">
      <alignment horizontal="right" vertical="center"/>
    </xf>
    <xf numFmtId="0" fontId="49" fillId="12" borderId="0" xfId="0" applyFont="1" applyFill="1"/>
    <xf numFmtId="0" fontId="50" fillId="12" borderId="0" xfId="0" applyFont="1" applyFill="1"/>
    <xf numFmtId="0" fontId="51" fillId="12" borderId="0" xfId="0" applyFont="1" applyFill="1"/>
    <xf numFmtId="0" fontId="49" fillId="12" borderId="0" xfId="0" applyFont="1" applyFill="1" applyAlignment="1">
      <alignment horizontal="left"/>
    </xf>
    <xf numFmtId="1" fontId="49" fillId="12" borderId="0" xfId="0" applyNumberFormat="1" applyFont="1" applyFill="1"/>
    <xf numFmtId="0" fontId="49" fillId="12" borderId="0" xfId="7" applyFont="1" applyFill="1" applyAlignment="1">
      <alignment horizontal="right"/>
    </xf>
    <xf numFmtId="164" fontId="49" fillId="12" borderId="0" xfId="6" applyFont="1" applyFill="1" applyAlignment="1">
      <alignment horizontal="center"/>
    </xf>
    <xf numFmtId="0" fontId="49" fillId="0" borderId="0" xfId="0" applyFont="1"/>
    <xf numFmtId="0" fontId="49" fillId="14" borderId="0" xfId="0" applyFont="1" applyFill="1" applyAlignment="1">
      <alignment horizontal="right"/>
    </xf>
    <xf numFmtId="0" fontId="51" fillId="14" borderId="0" xfId="0" applyFont="1" applyFill="1" applyAlignment="1">
      <alignment horizontal="right"/>
    </xf>
    <xf numFmtId="0" fontId="49" fillId="14" borderId="0" xfId="0" applyFont="1" applyFill="1" applyBorder="1" applyAlignment="1">
      <alignment horizontal="right"/>
    </xf>
    <xf numFmtId="1" fontId="49" fillId="14" borderId="0" xfId="0" applyNumberFormat="1" applyFont="1" applyFill="1" applyBorder="1" applyAlignment="1">
      <alignment horizontal="right"/>
    </xf>
    <xf numFmtId="0" fontId="50" fillId="14" borderId="0" xfId="0" applyFont="1" applyFill="1" applyBorder="1" applyAlignment="1">
      <alignment horizontal="right"/>
    </xf>
    <xf numFmtId="0" fontId="50" fillId="14" borderId="0" xfId="0" applyFont="1" applyFill="1" applyAlignment="1">
      <alignment horizontal="right"/>
    </xf>
    <xf numFmtId="0" fontId="49" fillId="12" borderId="0" xfId="0" applyFont="1" applyFill="1" applyAlignment="1">
      <alignment horizontal="right"/>
    </xf>
    <xf numFmtId="9" fontId="49" fillId="12" borderId="0" xfId="4" applyFont="1" applyFill="1"/>
    <xf numFmtId="0" fontId="49" fillId="12" borderId="0" xfId="4" applyNumberFormat="1" applyFont="1" applyFill="1"/>
    <xf numFmtId="0" fontId="42" fillId="0" borderId="0" xfId="0" applyFont="1" applyFill="1" applyBorder="1"/>
    <xf numFmtId="0" fontId="52" fillId="0" borderId="0" xfId="0" applyFont="1" applyFill="1" applyBorder="1" applyAlignment="1">
      <alignment wrapText="1"/>
    </xf>
    <xf numFmtId="0" fontId="17" fillId="0" borderId="0" xfId="0" applyFont="1"/>
    <xf numFmtId="0" fontId="54" fillId="19" borderId="45" xfId="8" applyNumberFormat="1" applyFont="1" applyFill="1" applyBorder="1" applyAlignment="1" applyProtection="1">
      <alignment horizontal="right" vertical="center" wrapText="1"/>
    </xf>
    <xf numFmtId="0" fontId="54" fillId="19" borderId="45" xfId="0" applyNumberFormat="1" applyFont="1" applyFill="1" applyBorder="1" applyAlignment="1" applyProtection="1">
      <alignment horizontal="right" vertical="center" wrapText="1"/>
    </xf>
    <xf numFmtId="0" fontId="55" fillId="0" borderId="0" xfId="0" applyFont="1"/>
    <xf numFmtId="0" fontId="53" fillId="0" borderId="0" xfId="0" applyFont="1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34" fillId="12" borderId="3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right"/>
    </xf>
    <xf numFmtId="0" fontId="35" fillId="0" borderId="2" xfId="0" quotePrefix="1" applyFont="1" applyBorder="1" applyAlignment="1">
      <alignment horizontal="right"/>
    </xf>
    <xf numFmtId="0" fontId="49" fillId="12" borderId="0" xfId="0" applyFont="1" applyFill="1" applyAlignment="1">
      <alignment horizontal="right"/>
    </xf>
    <xf numFmtId="9" fontId="49" fillId="12" borderId="0" xfId="0" applyNumberFormat="1" applyFont="1" applyFill="1"/>
    <xf numFmtId="0" fontId="49" fillId="12" borderId="0" xfId="0" applyFont="1" applyFill="1" applyBorder="1"/>
    <xf numFmtId="0" fontId="0" fillId="0" borderId="0" xfId="0" applyBorder="1"/>
    <xf numFmtId="0" fontId="50" fillId="12" borderId="0" xfId="0" applyFont="1" applyFill="1" applyBorder="1"/>
    <xf numFmtId="0" fontId="51" fillId="12" borderId="0" xfId="0" applyFont="1" applyFill="1" applyBorder="1"/>
    <xf numFmtId="0" fontId="48" fillId="12" borderId="0" xfId="0" applyFont="1" applyFill="1" applyBorder="1"/>
    <xf numFmtId="0" fontId="49" fillId="12" borderId="0" xfId="0" applyFont="1" applyFill="1" applyBorder="1" applyAlignment="1">
      <alignment horizontal="left"/>
    </xf>
    <xf numFmtId="1" fontId="49" fillId="12" borderId="0" xfId="0" applyNumberFormat="1" applyFont="1" applyFill="1" applyBorder="1"/>
    <xf numFmtId="0" fontId="49" fillId="12" borderId="0" xfId="7" applyFont="1" applyFill="1" applyBorder="1" applyAlignment="1">
      <alignment horizontal="right"/>
    </xf>
    <xf numFmtId="1" fontId="49" fillId="12" borderId="0" xfId="0" applyNumberFormat="1" applyFont="1" applyFill="1" applyBorder="1" applyAlignment="1">
      <alignment horizontal="right"/>
    </xf>
    <xf numFmtId="0" fontId="50" fillId="12" borderId="0" xfId="0" applyNumberFormat="1" applyFont="1" applyFill="1" applyBorder="1" applyAlignment="1">
      <alignment horizontal="center" wrapText="1"/>
    </xf>
    <xf numFmtId="0" fontId="50" fillId="12" borderId="0" xfId="0" quotePrefix="1" applyNumberFormat="1" applyFont="1" applyFill="1" applyBorder="1" applyAlignment="1">
      <alignment horizontal="center" wrapText="1"/>
    </xf>
    <xf numFmtId="164" fontId="49" fillId="12" borderId="0" xfId="6" applyFont="1" applyFill="1" applyBorder="1" applyAlignment="1">
      <alignment horizontal="center"/>
    </xf>
    <xf numFmtId="0" fontId="49" fillId="12" borderId="0" xfId="0" applyFont="1" applyFill="1" applyAlignment="1"/>
    <xf numFmtId="0" fontId="51" fillId="12" borderId="0" xfId="0" applyFont="1" applyFill="1" applyAlignment="1">
      <alignment horizontal="right"/>
    </xf>
    <xf numFmtId="0" fontId="49" fillId="12" borderId="0" xfId="0" applyFont="1" applyFill="1" applyBorder="1" applyAlignment="1">
      <alignment horizontal="right"/>
    </xf>
    <xf numFmtId="0" fontId="50" fillId="12" borderId="0" xfId="0" applyFont="1" applyFill="1" applyBorder="1" applyAlignment="1">
      <alignment horizontal="right"/>
    </xf>
    <xf numFmtId="0" fontId="50" fillId="12" borderId="0" xfId="0" applyFont="1" applyFill="1" applyAlignment="1">
      <alignment horizontal="right"/>
    </xf>
    <xf numFmtId="0" fontId="50" fillId="12" borderId="0" xfId="0" applyFont="1" applyFill="1" applyBorder="1" applyAlignment="1">
      <alignment horizontal="center" wrapText="1"/>
    </xf>
    <xf numFmtId="0" fontId="50" fillId="12" borderId="0" xfId="0" quotePrefix="1" applyFont="1" applyFill="1" applyBorder="1" applyAlignment="1">
      <alignment horizontal="center" wrapText="1"/>
    </xf>
    <xf numFmtId="0" fontId="10" fillId="18" borderId="0" xfId="0" applyFont="1" applyFill="1" applyAlignment="1">
      <alignment horizontal="left"/>
    </xf>
    <xf numFmtId="0" fontId="57" fillId="12" borderId="0" xfId="0" applyFont="1" applyFill="1" applyBorder="1"/>
    <xf numFmtId="0" fontId="58" fillId="12" borderId="0" xfId="0" applyFont="1" applyFill="1" applyBorder="1"/>
    <xf numFmtId="0" fontId="61" fillId="12" borderId="0" xfId="0" applyFont="1" applyFill="1" applyBorder="1"/>
    <xf numFmtId="0" fontId="63" fillId="12" borderId="0" xfId="0" applyFont="1" applyFill="1" applyBorder="1"/>
    <xf numFmtId="0" fontId="63" fillId="12" borderId="0" xfId="0" applyFont="1" applyFill="1" applyBorder="1" applyAlignment="1">
      <alignment horizontal="left"/>
    </xf>
    <xf numFmtId="1" fontId="63" fillId="12" borderId="0" xfId="0" applyNumberFormat="1" applyFont="1" applyFill="1" applyBorder="1"/>
    <xf numFmtId="0" fontId="63" fillId="12" borderId="0" xfId="7" applyFont="1" applyFill="1" applyBorder="1" applyAlignment="1">
      <alignment horizontal="right"/>
    </xf>
    <xf numFmtId="1" fontId="63" fillId="12" borderId="0" xfId="0" applyNumberFormat="1" applyFont="1" applyFill="1" applyBorder="1" applyAlignment="1">
      <alignment horizontal="right"/>
    </xf>
    <xf numFmtId="0" fontId="64" fillId="12" borderId="0" xfId="0" applyFont="1" applyFill="1" applyBorder="1"/>
    <xf numFmtId="0" fontId="64" fillId="12" borderId="0" xfId="0" applyNumberFormat="1" applyFont="1" applyFill="1" applyBorder="1" applyAlignment="1">
      <alignment horizontal="center" wrapText="1"/>
    </xf>
    <xf numFmtId="0" fontId="64" fillId="12" borderId="0" xfId="0" quotePrefix="1" applyNumberFormat="1" applyFont="1" applyFill="1" applyBorder="1" applyAlignment="1">
      <alignment horizontal="center" wrapText="1"/>
    </xf>
    <xf numFmtId="0" fontId="64" fillId="12" borderId="0" xfId="0" applyFont="1" applyFill="1" applyBorder="1" applyAlignment="1">
      <alignment horizontal="center" wrapText="1"/>
    </xf>
    <xf numFmtId="0" fontId="64" fillId="12" borderId="0" xfId="0" quotePrefix="1" applyFont="1" applyFill="1" applyBorder="1" applyAlignment="1">
      <alignment horizontal="center" wrapText="1"/>
    </xf>
    <xf numFmtId="164" fontId="63" fillId="12" borderId="0" xfId="6" applyFont="1" applyFill="1" applyBorder="1" applyAlignment="1">
      <alignment horizontal="center"/>
    </xf>
    <xf numFmtId="0" fontId="57" fillId="12" borderId="0" xfId="0" applyFont="1" applyFill="1" applyBorder="1" applyAlignment="1">
      <alignment horizontal="right"/>
    </xf>
    <xf numFmtId="0" fontId="57" fillId="0" borderId="0" xfId="0" applyFont="1" applyBorder="1"/>
    <xf numFmtId="0" fontId="40" fillId="10" borderId="0" xfId="0" applyFont="1" applyFill="1"/>
    <xf numFmtId="0" fontId="59" fillId="10" borderId="0" xfId="0" applyFont="1" applyFill="1"/>
    <xf numFmtId="0" fontId="67" fillId="15" borderId="0" xfId="0" applyFont="1" applyFill="1"/>
    <xf numFmtId="0" fontId="68" fillId="15" borderId="0" xfId="0" applyFont="1" applyFill="1"/>
    <xf numFmtId="0" fontId="69" fillId="10" borderId="0" xfId="0" applyFont="1" applyFill="1"/>
    <xf numFmtId="0" fontId="68" fillId="15" borderId="0" xfId="0" applyFont="1" applyFill="1" applyAlignment="1">
      <alignment horizontal="center"/>
    </xf>
    <xf numFmtId="0" fontId="69" fillId="10" borderId="0" xfId="9" applyFont="1" applyFill="1"/>
    <xf numFmtId="0" fontId="68" fillId="15" borderId="0" xfId="9" applyFont="1" applyFill="1"/>
    <xf numFmtId="0" fontId="67" fillId="15" borderId="0" xfId="9" applyFont="1" applyFill="1"/>
    <xf numFmtId="1" fontId="67" fillId="15" borderId="0" xfId="9" applyNumberFormat="1" applyFont="1" applyFill="1"/>
    <xf numFmtId="0" fontId="46" fillId="0" borderId="0" xfId="9" applyFont="1" applyFill="1"/>
    <xf numFmtId="0" fontId="45" fillId="0" borderId="0" xfId="9" applyFont="1" applyFill="1"/>
    <xf numFmtId="0" fontId="45" fillId="0" borderId="0" xfId="9" applyFont="1"/>
    <xf numFmtId="0" fontId="44" fillId="0" borderId="0" xfId="9" applyFont="1"/>
    <xf numFmtId="0" fontId="70" fillId="10" borderId="0" xfId="0" applyFont="1" applyFill="1"/>
    <xf numFmtId="0" fontId="71" fillId="10" borderId="0" xfId="0" applyFont="1" applyFill="1"/>
    <xf numFmtId="1" fontId="46" fillId="0" borderId="0" xfId="0" applyNumberFormat="1" applyFont="1" applyBorder="1"/>
    <xf numFmtId="0" fontId="46" fillId="0" borderId="0" xfId="7" applyFont="1" applyBorder="1" applyAlignment="1">
      <alignment horizontal="right"/>
    </xf>
    <xf numFmtId="0" fontId="46" fillId="0" borderId="0" xfId="0" applyFont="1" applyBorder="1" applyAlignment="1">
      <alignment horizontal="left"/>
    </xf>
    <xf numFmtId="0" fontId="46" fillId="0" borderId="0" xfId="0" applyFont="1" applyBorder="1"/>
    <xf numFmtId="1" fontId="46" fillId="0" borderId="0" xfId="0" applyNumberFormat="1" applyFont="1" applyBorder="1" applyAlignment="1">
      <alignment horizontal="right"/>
    </xf>
    <xf numFmtId="0" fontId="47" fillId="0" borderId="0" xfId="0" applyFont="1" applyBorder="1"/>
    <xf numFmtId="0" fontId="47" fillId="0" borderId="0" xfId="0" applyNumberFormat="1" applyFont="1" applyBorder="1" applyAlignment="1">
      <alignment horizontal="center" wrapText="1"/>
    </xf>
    <xf numFmtId="0" fontId="47" fillId="0" borderId="0" xfId="0" quotePrefix="1" applyNumberFormat="1" applyFont="1" applyBorder="1" applyAlignment="1">
      <alignment horizontal="center" wrapText="1"/>
    </xf>
    <xf numFmtId="164" fontId="46" fillId="0" borderId="0" xfId="6" applyFont="1" applyBorder="1" applyAlignment="1">
      <alignment horizontal="center"/>
    </xf>
    <xf numFmtId="0" fontId="73" fillId="10" borderId="0" xfId="0" applyFont="1" applyFill="1"/>
    <xf numFmtId="0" fontId="10" fillId="21" borderId="0" xfId="0" applyFont="1" applyFill="1"/>
    <xf numFmtId="0" fontId="74" fillId="15" borderId="0" xfId="0" applyFont="1" applyFill="1"/>
    <xf numFmtId="0" fontId="42" fillId="0" borderId="0" xfId="0" applyFont="1" applyBorder="1"/>
    <xf numFmtId="0" fontId="44" fillId="0" borderId="0" xfId="0" applyFont="1" applyBorder="1"/>
    <xf numFmtId="0" fontId="45" fillId="0" borderId="0" xfId="0" applyFont="1" applyBorder="1"/>
    <xf numFmtId="0" fontId="43" fillId="0" borderId="0" xfId="0" applyFont="1" applyBorder="1"/>
    <xf numFmtId="0" fontId="42" fillId="0" borderId="0" xfId="0" applyFont="1" applyBorder="1" applyAlignment="1">
      <alignment horizontal="left"/>
    </xf>
    <xf numFmtId="1" fontId="42" fillId="0" borderId="0" xfId="0" applyNumberFormat="1" applyFont="1" applyBorder="1"/>
    <xf numFmtId="0" fontId="42" fillId="0" borderId="0" xfId="7" applyFont="1" applyBorder="1" applyAlignment="1">
      <alignment horizontal="right"/>
    </xf>
    <xf numFmtId="0" fontId="44" fillId="0" borderId="0" xfId="0" applyNumberFormat="1" applyFont="1" applyBorder="1" applyAlignment="1">
      <alignment horizontal="center" wrapText="1"/>
    </xf>
    <xf numFmtId="0" fontId="44" fillId="0" borderId="0" xfId="0" quotePrefix="1" applyNumberFormat="1" applyFont="1" applyBorder="1" applyAlignment="1">
      <alignment horizontal="center" wrapText="1"/>
    </xf>
    <xf numFmtId="164" fontId="42" fillId="0" borderId="0" xfId="6" applyFont="1" applyBorder="1" applyAlignment="1">
      <alignment horizontal="center"/>
    </xf>
    <xf numFmtId="0" fontId="41" fillId="10" borderId="0" xfId="0" applyFont="1" applyFill="1"/>
    <xf numFmtId="0" fontId="76" fillId="15" borderId="0" xfId="0" applyFont="1" applyFill="1"/>
    <xf numFmtId="0" fontId="75" fillId="10" borderId="0" xfId="9" applyFont="1" applyFill="1"/>
    <xf numFmtId="0" fontId="71" fillId="10" borderId="0" xfId="9" applyFont="1" applyFill="1"/>
    <xf numFmtId="1" fontId="75" fillId="10" borderId="0" xfId="9" applyNumberFormat="1" applyFont="1" applyFill="1"/>
    <xf numFmtId="0" fontId="70" fillId="10" borderId="0" xfId="9" applyFont="1" applyFill="1"/>
    <xf numFmtId="0" fontId="76" fillId="15" borderId="0" xfId="9" applyFont="1" applyFill="1"/>
    <xf numFmtId="0" fontId="74" fillId="15" borderId="0" xfId="9" applyFont="1" applyFill="1"/>
    <xf numFmtId="0" fontId="9" fillId="0" borderId="0" xfId="0" applyFont="1" applyFill="1"/>
    <xf numFmtId="0" fontId="59" fillId="10" borderId="0" xfId="0" applyFont="1" applyFill="1" applyAlignment="1"/>
    <xf numFmtId="0" fontId="42" fillId="0" borderId="0" xfId="0" applyFont="1" applyFill="1"/>
    <xf numFmtId="0" fontId="13" fillId="21" borderId="0" xfId="0" applyFont="1" applyFill="1"/>
    <xf numFmtId="0" fontId="0" fillId="21" borderId="0" xfId="0" applyFill="1"/>
    <xf numFmtId="0" fontId="9" fillId="21" borderId="0" xfId="0" applyFont="1" applyFill="1"/>
    <xf numFmtId="0" fontId="66" fillId="21" borderId="0" xfId="0" applyFont="1" applyFill="1" applyAlignment="1"/>
    <xf numFmtId="0" fontId="66" fillId="21" borderId="0" xfId="0" applyFont="1" applyFill="1" applyAlignment="1">
      <alignment horizontal="center"/>
    </xf>
    <xf numFmtId="0" fontId="72" fillId="21" borderId="0" xfId="0" applyFont="1" applyFill="1"/>
    <xf numFmtId="0" fontId="65" fillId="21" borderId="0" xfId="0" applyFont="1" applyFill="1"/>
    <xf numFmtId="0" fontId="10" fillId="7" borderId="2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5" xfId="9" applyFont="1" applyFill="1" applyBorder="1" applyAlignment="1">
      <alignment horizontal="center"/>
    </xf>
    <xf numFmtId="0" fontId="10" fillId="3" borderId="8" xfId="9" applyFont="1" applyFill="1" applyBorder="1" applyAlignment="1">
      <alignment horizontal="center"/>
    </xf>
    <xf numFmtId="0" fontId="10" fillId="3" borderId="9" xfId="9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12" borderId="43" xfId="0" applyFont="1" applyFill="1" applyBorder="1" applyAlignment="1">
      <alignment horizontal="center"/>
    </xf>
    <xf numFmtId="0" fontId="10" fillId="12" borderId="44" xfId="0" applyFont="1" applyFill="1" applyBorder="1" applyAlignment="1">
      <alignment horizontal="center"/>
    </xf>
    <xf numFmtId="0" fontId="10" fillId="12" borderId="42" xfId="0" applyFont="1" applyFill="1" applyBorder="1" applyAlignment="1">
      <alignment horizontal="center"/>
    </xf>
    <xf numFmtId="0" fontId="31" fillId="14" borderId="38" xfId="0" applyFont="1" applyFill="1" applyBorder="1" applyAlignment="1">
      <alignment horizontal="center" vertical="center" wrapText="1"/>
    </xf>
    <xf numFmtId="0" fontId="31" fillId="14" borderId="39" xfId="0" applyFont="1" applyFill="1" applyBorder="1" applyAlignment="1">
      <alignment horizontal="center" vertical="center" wrapText="1"/>
    </xf>
    <xf numFmtId="0" fontId="33" fillId="14" borderId="40" xfId="0" applyFont="1" applyFill="1" applyBorder="1" applyAlignment="1">
      <alignment horizontal="center" vertical="center" wrapText="1"/>
    </xf>
    <xf numFmtId="0" fontId="33" fillId="14" borderId="41" xfId="0" applyFont="1" applyFill="1" applyBorder="1" applyAlignment="1">
      <alignment horizontal="center" vertical="center" wrapText="1"/>
    </xf>
    <xf numFmtId="0" fontId="10" fillId="12" borderId="0" xfId="0" applyFont="1" applyFill="1" applyAlignment="1">
      <alignment horizontal="center"/>
    </xf>
    <xf numFmtId="0" fontId="50" fillId="12" borderId="0" xfId="0" applyFont="1" applyFill="1" applyAlignment="1">
      <alignment horizontal="center"/>
    </xf>
    <xf numFmtId="0" fontId="28" fillId="14" borderId="0" xfId="0" applyFont="1" applyFill="1" applyAlignment="1">
      <alignment horizontal="center" vertical="top" readingOrder="1"/>
    </xf>
    <xf numFmtId="9" fontId="50" fillId="12" borderId="0" xfId="0" applyNumberFormat="1" applyFont="1" applyFill="1" applyAlignment="1">
      <alignment horizontal="center"/>
    </xf>
    <xf numFmtId="0" fontId="62" fillId="12" borderId="0" xfId="0" applyFont="1" applyFill="1" applyBorder="1" applyAlignment="1">
      <alignment horizontal="center"/>
    </xf>
    <xf numFmtId="0" fontId="57" fillId="12" borderId="0" xfId="0" applyFont="1" applyFill="1" applyBorder="1" applyAlignment="1">
      <alignment horizontal="center"/>
    </xf>
    <xf numFmtId="0" fontId="34" fillId="11" borderId="3" xfId="0" applyFont="1" applyFill="1" applyBorder="1" applyAlignment="1">
      <alignment horizontal="left" vertical="center"/>
    </xf>
    <xf numFmtId="0" fontId="34" fillId="11" borderId="30" xfId="0" applyFont="1" applyFill="1" applyBorder="1" applyAlignment="1">
      <alignment horizontal="left" vertical="center"/>
    </xf>
    <xf numFmtId="0" fontId="34" fillId="11" borderId="2" xfId="0" applyFont="1" applyFill="1" applyBorder="1" applyAlignment="1">
      <alignment horizontal="center"/>
    </xf>
    <xf numFmtId="0" fontId="61" fillId="18" borderId="0" xfId="0" applyFont="1" applyFill="1" applyAlignment="1">
      <alignment horizontal="center"/>
    </xf>
    <xf numFmtId="0" fontId="34" fillId="11" borderId="3" xfId="0" applyNumberFormat="1" applyFont="1" applyFill="1" applyBorder="1" applyAlignment="1">
      <alignment horizontal="center" vertical="center"/>
    </xf>
    <xf numFmtId="0" fontId="34" fillId="11" borderId="30" xfId="0" applyNumberFormat="1" applyFont="1" applyFill="1" applyBorder="1" applyAlignment="1">
      <alignment horizontal="center" vertical="center"/>
    </xf>
    <xf numFmtId="0" fontId="34" fillId="11" borderId="3" xfId="0" applyFont="1" applyFill="1" applyBorder="1" applyAlignment="1">
      <alignment horizontal="center" vertical="center"/>
    </xf>
    <xf numFmtId="0" fontId="34" fillId="11" borderId="30" xfId="0" applyFont="1" applyFill="1" applyBorder="1" applyAlignment="1">
      <alignment horizontal="center" vertical="center"/>
    </xf>
    <xf numFmtId="0" fontId="48" fillId="12" borderId="0" xfId="0" applyFont="1" applyFill="1" applyAlignment="1">
      <alignment horizontal="center"/>
    </xf>
    <xf numFmtId="0" fontId="59" fillId="10" borderId="0" xfId="0" applyFont="1" applyFill="1" applyAlignment="1">
      <alignment horizontal="center"/>
    </xf>
    <xf numFmtId="0" fontId="60" fillId="20" borderId="0" xfId="19" applyFont="1" applyAlignment="1">
      <alignment horizontal="center"/>
    </xf>
    <xf numFmtId="0" fontId="49" fillId="12" borderId="0" xfId="0" applyFont="1" applyFill="1" applyBorder="1" applyAlignment="1">
      <alignment horizontal="right"/>
    </xf>
    <xf numFmtId="0" fontId="34" fillId="11" borderId="5" xfId="0" applyFont="1" applyFill="1" applyBorder="1" applyAlignment="1">
      <alignment horizontal="center"/>
    </xf>
    <xf numFmtId="0" fontId="34" fillId="11" borderId="9" xfId="0" applyFont="1" applyFill="1" applyBorder="1" applyAlignment="1">
      <alignment horizontal="center"/>
    </xf>
    <xf numFmtId="0" fontId="48" fillId="12" borderId="0" xfId="0" applyFont="1" applyFill="1" applyBorder="1" applyAlignment="1">
      <alignment horizontal="center"/>
    </xf>
    <xf numFmtId="0" fontId="34" fillId="12" borderId="3" xfId="0" applyFont="1" applyFill="1" applyBorder="1" applyAlignment="1">
      <alignment horizontal="left" vertical="center"/>
    </xf>
    <xf numFmtId="0" fontId="34" fillId="12" borderId="30" xfId="0" applyFont="1" applyFill="1" applyBorder="1" applyAlignment="1">
      <alignment horizontal="left" vertical="center"/>
    </xf>
    <xf numFmtId="0" fontId="34" fillId="12" borderId="31" xfId="0" applyFont="1" applyFill="1" applyBorder="1" applyAlignment="1">
      <alignment horizontal="left" vertical="center"/>
    </xf>
    <xf numFmtId="0" fontId="34" fillId="12" borderId="32" xfId="0" applyFont="1" applyFill="1" applyBorder="1" applyAlignment="1">
      <alignment horizontal="left" vertical="center"/>
    </xf>
    <xf numFmtId="0" fontId="34" fillId="12" borderId="9" xfId="0" applyFont="1" applyFill="1" applyBorder="1" applyAlignment="1">
      <alignment horizontal="center"/>
    </xf>
    <xf numFmtId="0" fontId="34" fillId="12" borderId="5" xfId="0" applyFont="1" applyFill="1" applyBorder="1" applyAlignment="1">
      <alignment horizontal="center"/>
    </xf>
    <xf numFmtId="0" fontId="34" fillId="12" borderId="16" xfId="0" applyFont="1" applyFill="1" applyBorder="1" applyAlignment="1">
      <alignment horizontal="center"/>
    </xf>
    <xf numFmtId="0" fontId="34" fillId="12" borderId="2" xfId="0" applyFont="1" applyFill="1" applyBorder="1" applyAlignment="1">
      <alignment horizontal="center"/>
    </xf>
    <xf numFmtId="0" fontId="34" fillId="12" borderId="17" xfId="0" applyFont="1" applyFill="1" applyBorder="1" applyAlignment="1">
      <alignment horizontal="center"/>
    </xf>
    <xf numFmtId="0" fontId="34" fillId="12" borderId="8" xfId="0" applyFont="1" applyFill="1" applyBorder="1" applyAlignment="1">
      <alignment horizontal="center"/>
    </xf>
    <xf numFmtId="0" fontId="36" fillId="12" borderId="3" xfId="0" applyFont="1" applyFill="1" applyBorder="1" applyAlignment="1">
      <alignment horizontal="center" vertical="center"/>
    </xf>
    <xf numFmtId="0" fontId="36" fillId="12" borderId="30" xfId="0" applyFont="1" applyFill="1" applyBorder="1" applyAlignment="1">
      <alignment horizontal="center" vertical="center"/>
    </xf>
    <xf numFmtId="0" fontId="34" fillId="12" borderId="3" xfId="9" applyFont="1" applyFill="1" applyBorder="1" applyAlignment="1">
      <alignment horizontal="left" vertical="center"/>
    </xf>
    <xf numFmtId="0" fontId="34" fillId="12" borderId="30" xfId="9" applyFont="1" applyFill="1" applyBorder="1" applyAlignment="1">
      <alignment horizontal="left" vertical="center"/>
    </xf>
    <xf numFmtId="0" fontId="34" fillId="12" borderId="5" xfId="9" applyFont="1" applyFill="1" applyBorder="1" applyAlignment="1">
      <alignment horizontal="center"/>
    </xf>
    <xf numFmtId="0" fontId="34" fillId="12" borderId="8" xfId="9" applyFont="1" applyFill="1" applyBorder="1" applyAlignment="1">
      <alignment horizontal="center"/>
    </xf>
    <xf numFmtId="0" fontId="34" fillId="12" borderId="9" xfId="9" applyFont="1" applyFill="1" applyBorder="1" applyAlignment="1">
      <alignment horizontal="center"/>
    </xf>
    <xf numFmtId="0" fontId="36" fillId="12" borderId="3" xfId="9" applyFont="1" applyFill="1" applyBorder="1" applyAlignment="1">
      <alignment horizontal="center" vertical="center"/>
    </xf>
    <xf numFmtId="0" fontId="36" fillId="12" borderId="30" xfId="9" applyFont="1" applyFill="1" applyBorder="1" applyAlignment="1">
      <alignment horizontal="center" vertical="center"/>
    </xf>
    <xf numFmtId="0" fontId="45" fillId="14" borderId="0" xfId="9" applyFont="1" applyFill="1" applyAlignment="1">
      <alignment horizontal="center" vertical="top" readingOrder="1"/>
    </xf>
    <xf numFmtId="0" fontId="44" fillId="0" borderId="0" xfId="9" applyFont="1" applyAlignment="1">
      <alignment horizontal="center"/>
    </xf>
    <xf numFmtId="0" fontId="28" fillId="14" borderId="0" xfId="9" applyFont="1" applyFill="1" applyAlignment="1">
      <alignment horizontal="center" vertical="top" readingOrder="1"/>
    </xf>
    <xf numFmtId="0" fontId="69" fillId="10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0" fontId="34" fillId="12" borderId="2" xfId="0" applyFont="1" applyFill="1" applyBorder="1" applyAlignment="1">
      <alignment horizontal="left" vertical="center"/>
    </xf>
    <xf numFmtId="0" fontId="34" fillId="12" borderId="11" xfId="0" applyFont="1" applyFill="1" applyBorder="1" applyAlignment="1">
      <alignment horizontal="left" vertical="center"/>
    </xf>
    <xf numFmtId="0" fontId="34" fillId="12" borderId="2" xfId="0" applyNumberFormat="1" applyFont="1" applyFill="1" applyBorder="1" applyAlignment="1">
      <alignment horizontal="center" vertical="center"/>
    </xf>
    <xf numFmtId="0" fontId="34" fillId="12" borderId="11" xfId="0" applyNumberFormat="1" applyFont="1" applyFill="1" applyBorder="1" applyAlignment="1">
      <alignment horizontal="center" vertical="center"/>
    </xf>
    <xf numFmtId="0" fontId="34" fillId="12" borderId="2" xfId="0" applyFont="1" applyFill="1" applyBorder="1" applyAlignment="1">
      <alignment horizontal="center" vertical="center"/>
    </xf>
    <xf numFmtId="0" fontId="34" fillId="12" borderId="11" xfId="0" applyFont="1" applyFill="1" applyBorder="1" applyAlignment="1">
      <alignment horizontal="center" vertical="center"/>
    </xf>
    <xf numFmtId="0" fontId="68" fillId="15" borderId="0" xfId="0" applyFont="1" applyFill="1" applyAlignment="1">
      <alignment horizontal="center"/>
    </xf>
    <xf numFmtId="0" fontId="42" fillId="0" borderId="0" xfId="0" applyFont="1" applyBorder="1" applyAlignment="1">
      <alignment horizontal="right"/>
    </xf>
    <xf numFmtId="0" fontId="34" fillId="12" borderId="3" xfId="0" applyNumberFormat="1" applyFont="1" applyFill="1" applyBorder="1" applyAlignment="1">
      <alignment horizontal="center" vertical="center"/>
    </xf>
    <xf numFmtId="0" fontId="34" fillId="12" borderId="30" xfId="0" applyNumberFormat="1" applyFont="1" applyFill="1" applyBorder="1" applyAlignment="1">
      <alignment horizontal="center" vertical="center"/>
    </xf>
    <xf numFmtId="0" fontId="34" fillId="12" borderId="3" xfId="0" applyFont="1" applyFill="1" applyBorder="1" applyAlignment="1">
      <alignment horizontal="center" vertical="center"/>
    </xf>
    <xf numFmtId="0" fontId="34" fillId="12" borderId="30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10" fillId="15" borderId="33" xfId="9" applyFont="1" applyFill="1" applyBorder="1" applyAlignment="1">
      <alignment horizontal="center"/>
    </xf>
  </cellXfs>
  <cellStyles count="20">
    <cellStyle name="Bad" xfId="19" builtinId="27"/>
    <cellStyle name="Comma" xfId="6" builtinId="3"/>
    <cellStyle name="Normal" xfId="0" builtinId="0"/>
    <cellStyle name="Normal 10" xfId="17"/>
    <cellStyle name="Normal 11" xfId="18"/>
    <cellStyle name="Normal 2" xfId="8"/>
    <cellStyle name="Normal 3" xfId="9"/>
    <cellStyle name="Normal 4" xfId="10"/>
    <cellStyle name="Normal 5" xfId="12"/>
    <cellStyle name="Normal 6" xfId="13"/>
    <cellStyle name="Normal 7" xfId="14"/>
    <cellStyle name="Normal 8" xfId="15"/>
    <cellStyle name="Normal 9" xfId="16"/>
    <cellStyle name="Normal_Data" xfId="1"/>
    <cellStyle name="Normal_Data_2" xfId="11"/>
    <cellStyle name="Normal_LOK" xfId="2"/>
    <cellStyle name="Normal_LOK-Data" xfId="3"/>
    <cellStyle name="Normal_Lt7801pop" xfId="5"/>
    <cellStyle name="Normal_mot_ASR" xfId="7"/>
    <cellStyle name="Percent" xfId="4" builtinId="5"/>
  </cellStyles>
  <dxfs count="0"/>
  <tableStyles count="0" defaultTableStyle="TableStyleMedium2" defaultPivotStyle="PivotStyleLight16"/>
  <colors>
    <mruColors>
      <color rgb="FFF2DCDB"/>
      <color rgb="FFFFCCCC"/>
      <color rgb="FFCCECFF"/>
      <color rgb="FF020232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800"/>
            </a:pPr>
            <a:r>
              <a:rPr lang="lt-LT" sz="800" b="0">
                <a:solidFill>
                  <a:schemeClr val="accent1"/>
                </a:solidFill>
              </a:rPr>
              <a:t>1978</a:t>
            </a:r>
            <a:br>
              <a:rPr lang="lt-LT" sz="800" b="0">
                <a:solidFill>
                  <a:schemeClr val="accent1"/>
                </a:solidFill>
              </a:rPr>
            </a:br>
            <a:r>
              <a:rPr lang="en-US" sz="800" b="0">
                <a:solidFill>
                  <a:schemeClr val="accent1"/>
                </a:solidFill>
              </a:rPr>
              <a:t>Vyrai    </a:t>
            </a:r>
            <a:r>
              <a:rPr lang="en-US" sz="800" b="0"/>
              <a:t>                                                                  </a:t>
            </a:r>
            <a:r>
              <a:rPr lang="en-US" sz="800" b="0" baseline="0"/>
              <a:t> </a:t>
            </a:r>
            <a:r>
              <a:rPr lang="en-US" sz="800" b="0"/>
              <a:t>                    </a:t>
            </a:r>
            <a:r>
              <a:rPr lang="en-US" sz="800" b="0">
                <a:solidFill>
                  <a:schemeClr val="accent2"/>
                </a:solidFill>
              </a:rPr>
              <a:t>Moterys</a:t>
            </a:r>
            <a:endParaRPr lang="lt-LT" sz="800" b="0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0.1300569823138305"/>
          <c:y val="2.15053763440860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09951881014874"/>
          <c:y val="0.12502525252525254"/>
          <c:w val="0.85922003499562549"/>
          <c:h val="0.782142929292929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'Kiti grafikai'!$X$4</c:f>
              <c:strCache>
                <c:ptCount val="1"/>
                <c:pt idx="0">
                  <c:v>Vyrai</c:v>
                </c:pt>
              </c:strCache>
            </c:strRef>
          </c:tx>
          <c:spPr>
            <a:ln>
              <a:solidFill>
                <a:schemeClr val="tx1">
                  <a:alpha val="70000"/>
                </a:schemeClr>
              </a:solidFill>
            </a:ln>
          </c:spPr>
          <c:invertIfNegative val="0"/>
          <c:cat>
            <c:strRef>
              <c:f>'Kiti grafikai'!$W$5:$W$22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'Kiti grafikai'!$X$5:$X$22</c:f>
              <c:numCache>
                <c:formatCode>0%</c:formatCode>
                <c:ptCount val="18"/>
                <c:pt idx="0">
                  <c:v>-8.2632851090317663E-2</c:v>
                </c:pt>
                <c:pt idx="1">
                  <c:v>-8.7398598449861448E-2</c:v>
                </c:pt>
                <c:pt idx="2">
                  <c:v>-8.7034657242681016E-2</c:v>
                </c:pt>
                <c:pt idx="3">
                  <c:v>-9.7385019677924581E-2</c:v>
                </c:pt>
                <c:pt idx="4">
                  <c:v>-8.4350904582145295E-2</c:v>
                </c:pt>
                <c:pt idx="5">
                  <c:v>-7.6778417533432397E-2</c:v>
                </c:pt>
                <c:pt idx="6">
                  <c:v>-6.6259889161077862E-2</c:v>
                </c:pt>
                <c:pt idx="7">
                  <c:v>-7.2633880165455203E-2</c:v>
                </c:pt>
                <c:pt idx="8">
                  <c:v>-6.9465709208465523E-2</c:v>
                </c:pt>
                <c:pt idx="9">
                  <c:v>-6.7709379141399947E-2</c:v>
                </c:pt>
                <c:pt idx="10">
                  <c:v>-5.2772102526002972E-2</c:v>
                </c:pt>
                <c:pt idx="11">
                  <c:v>-3.8180570057427414E-2</c:v>
                </c:pt>
                <c:pt idx="12">
                  <c:v>-2.6195609614071726E-2</c:v>
                </c:pt>
                <c:pt idx="13">
                  <c:v>-2.9547633629171521E-2</c:v>
                </c:pt>
                <c:pt idx="14">
                  <c:v>-3.1029125336331873E-2</c:v>
                </c:pt>
                <c:pt idx="15">
                  <c:v>-1.6705528894421912E-2</c:v>
                </c:pt>
                <c:pt idx="16">
                  <c:v>-8.6065820649773098E-3</c:v>
                </c:pt>
                <c:pt idx="17">
                  <c:v>-5.3135416248343437E-3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4-483F-BC6D-423232D095B6}"/>
            </c:ext>
          </c:extLst>
        </c:ser>
        <c:ser>
          <c:idx val="1"/>
          <c:order val="1"/>
          <c:tx>
            <c:strRef>
              <c:f>'Kiti grafikai'!$Y$4</c:f>
              <c:strCache>
                <c:ptCount val="1"/>
                <c:pt idx="0">
                  <c:v>Moterys</c:v>
                </c:pt>
              </c:strCache>
            </c:strRef>
          </c:tx>
          <c:spPr>
            <a:ln>
              <a:solidFill>
                <a:schemeClr val="tx1">
                  <a:alpha val="70000"/>
                </a:schemeClr>
              </a:solidFill>
            </a:ln>
          </c:spPr>
          <c:invertIfNegative val="0"/>
          <c:cat>
            <c:strRef>
              <c:f>'Kiti grafikai'!$W$5:$W$22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'Kiti grafikai'!$Y$5:$Y$22</c:f>
              <c:numCache>
                <c:formatCode>0%</c:formatCode>
                <c:ptCount val="18"/>
                <c:pt idx="0">
                  <c:v>7.1721005088609679E-2</c:v>
                </c:pt>
                <c:pt idx="1">
                  <c:v>7.5527802557240564E-2</c:v>
                </c:pt>
                <c:pt idx="2">
                  <c:v>7.5403485252439728E-2</c:v>
                </c:pt>
                <c:pt idx="3">
                  <c:v>8.0916005740995542E-2</c:v>
                </c:pt>
                <c:pt idx="4">
                  <c:v>7.2295552632418936E-2</c:v>
                </c:pt>
                <c:pt idx="5">
                  <c:v>6.8426596511387633E-2</c:v>
                </c:pt>
                <c:pt idx="6">
                  <c:v>6.1934097268771214E-2</c:v>
                </c:pt>
                <c:pt idx="7">
                  <c:v>6.8853867248158063E-2</c:v>
                </c:pt>
                <c:pt idx="8">
                  <c:v>6.9882004958132501E-2</c:v>
                </c:pt>
                <c:pt idx="9">
                  <c:v>6.9309137377901647E-2</c:v>
                </c:pt>
                <c:pt idx="10">
                  <c:v>6.5330423636415558E-2</c:v>
                </c:pt>
                <c:pt idx="11">
                  <c:v>5.0318269099925914E-2</c:v>
                </c:pt>
                <c:pt idx="12">
                  <c:v>3.6549287611444582E-2</c:v>
                </c:pt>
                <c:pt idx="13">
                  <c:v>4.3674573135254427E-2</c:v>
                </c:pt>
                <c:pt idx="14">
                  <c:v>3.7367429874120332E-2</c:v>
                </c:pt>
                <c:pt idx="15">
                  <c:v>2.7591721811471126E-2</c:v>
                </c:pt>
                <c:pt idx="16">
                  <c:v>1.4568084163935326E-2</c:v>
                </c:pt>
                <c:pt idx="17">
                  <c:v>1.033065603137724E-2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04-483F-BC6D-423232D09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360256"/>
        <c:axId val="47263744"/>
      </c:barChart>
      <c:catAx>
        <c:axId val="4736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47263744"/>
        <c:crosses val="autoZero"/>
        <c:auto val="1"/>
        <c:lblAlgn val="ctr"/>
        <c:lblOffset val="100"/>
        <c:tickLblSkip val="1"/>
        <c:noMultiLvlLbl val="0"/>
      </c:catAx>
      <c:valAx>
        <c:axId val="47263744"/>
        <c:scaling>
          <c:orientation val="minMax"/>
          <c:max val="0.1"/>
          <c:min val="-0.1"/>
        </c:scaling>
        <c:delete val="0"/>
        <c:axPos val="b"/>
        <c:numFmt formatCode="0%;0%" sourceLinked="0"/>
        <c:majorTickMark val="out"/>
        <c:minorTickMark val="none"/>
        <c:tickLblPos val="nextTo"/>
        <c:crossAx val="47360256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75813250625E-4"/>
          <c:y val="0"/>
          <c:w val="0.76583105996854928"/>
          <c:h val="0.999950535029275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GrafikaiSerg!$W$28:$W$38</c:f>
              <c:strCache>
                <c:ptCount val="11"/>
                <c:pt idx="0">
                  <c:v>Kiti</c:v>
                </c:pt>
                <c:pt idx="1">
                  <c:v>Burnos ertmės ir ryklės</c:v>
                </c:pt>
                <c:pt idx="2">
                  <c:v>Gaubtinės žarnos</c:v>
                </c:pt>
                <c:pt idx="3">
                  <c:v>Odos melanoma</c:v>
                </c:pt>
                <c:pt idx="4">
                  <c:v>Smegenų</c:v>
                </c:pt>
                <c:pt idx="5">
                  <c:v>Skydliaukės</c:v>
                </c:pt>
                <c:pt idx="6">
                  <c:v>Ne Hodžkino limfomos</c:v>
                </c:pt>
                <c:pt idx="7">
                  <c:v>Hodžkino limfomos</c:v>
                </c:pt>
                <c:pt idx="8">
                  <c:v>Kiti odos piktybiniai navikai</c:v>
                </c:pt>
                <c:pt idx="9">
                  <c:v>Sėklidžių</c:v>
                </c:pt>
                <c:pt idx="10">
                  <c:v>Leukemijos</c:v>
                </c:pt>
              </c:strCache>
            </c:strRef>
          </c:cat>
          <c:val>
            <c:numRef>
              <c:f>GrafikaiSerg!$Y$28:$Y$38</c:f>
              <c:numCache>
                <c:formatCode>0%</c:formatCode>
                <c:ptCount val="11"/>
                <c:pt idx="0">
                  <c:v>8.0645161290322578E-2</c:v>
                </c:pt>
                <c:pt idx="1">
                  <c:v>3.2258064516129031E-2</c:v>
                </c:pt>
                <c:pt idx="2">
                  <c:v>4.8387096774193547E-2</c:v>
                </c:pt>
                <c:pt idx="3">
                  <c:v>4.8387096774193547E-2</c:v>
                </c:pt>
                <c:pt idx="4">
                  <c:v>4.8387096774193547E-2</c:v>
                </c:pt>
                <c:pt idx="5">
                  <c:v>6.4516129032258063E-2</c:v>
                </c:pt>
                <c:pt idx="6">
                  <c:v>6.4516129032258063E-2</c:v>
                </c:pt>
                <c:pt idx="7">
                  <c:v>0.11290322580645161</c:v>
                </c:pt>
                <c:pt idx="8">
                  <c:v>0.12903225806451613</c:v>
                </c:pt>
                <c:pt idx="9">
                  <c:v>0.17741935483870969</c:v>
                </c:pt>
                <c:pt idx="10">
                  <c:v>0.19354838709677419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E-4C1E-BD9F-518D5638E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9968640"/>
        <c:axId val="69970176"/>
      </c:barChart>
      <c:catAx>
        <c:axId val="69968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99701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9970176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9968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19239557627272E-4"/>
          <c:y val="0"/>
          <c:w val="0.7683053795063739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GrafikaiSerg!$W$41:$W$51</c:f>
              <c:strCache>
                <c:ptCount val="11"/>
                <c:pt idx="0">
                  <c:v>Kiti</c:v>
                </c:pt>
                <c:pt idx="1">
                  <c:v>Gerklų</c:v>
                </c:pt>
                <c:pt idx="2">
                  <c:v>Leukemijos</c:v>
                </c:pt>
                <c:pt idx="3">
                  <c:v>Kasos</c:v>
                </c:pt>
                <c:pt idx="4">
                  <c:v>Odos melanoma</c:v>
                </c:pt>
                <c:pt idx="5">
                  <c:v>Skrandžio</c:v>
                </c:pt>
                <c:pt idx="6">
                  <c:v>Inkstų</c:v>
                </c:pt>
                <c:pt idx="7">
                  <c:v>Burnos ertmės ir ryklės</c:v>
                </c:pt>
                <c:pt idx="8">
                  <c:v>Kiti odos piktybiniai navikai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GrafikaiSerg!$Y$41:$Y$51</c:f>
              <c:numCache>
                <c:formatCode>0%</c:formatCode>
                <c:ptCount val="11"/>
                <c:pt idx="0">
                  <c:v>0.25375626043405675</c:v>
                </c:pt>
                <c:pt idx="1">
                  <c:v>3.0050083472454091E-2</c:v>
                </c:pt>
                <c:pt idx="2">
                  <c:v>3.0884808013355594E-2</c:v>
                </c:pt>
                <c:pt idx="3">
                  <c:v>3.589315525876461E-2</c:v>
                </c:pt>
                <c:pt idx="4">
                  <c:v>3.6727879799666109E-2</c:v>
                </c:pt>
                <c:pt idx="5">
                  <c:v>5.8430717863105178E-2</c:v>
                </c:pt>
                <c:pt idx="6">
                  <c:v>6.1769616026711188E-2</c:v>
                </c:pt>
                <c:pt idx="7">
                  <c:v>6.5943238731218698E-2</c:v>
                </c:pt>
                <c:pt idx="8">
                  <c:v>9.098497495826377E-2</c:v>
                </c:pt>
                <c:pt idx="9">
                  <c:v>0.1018363939899833</c:v>
                </c:pt>
                <c:pt idx="10">
                  <c:v>0.23372287145242071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1-433B-982A-76D703340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9986176"/>
        <c:axId val="69987712"/>
      </c:barChart>
      <c:catAx>
        <c:axId val="6998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699877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9987712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9986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44729593985939"/>
          <c:h val="0.999396325459317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GrafikaiSerg!$W$54:$W$64</c:f>
              <c:strCache>
                <c:ptCount val="11"/>
                <c:pt idx="0">
                  <c:v>Kiti</c:v>
                </c:pt>
                <c:pt idx="1">
                  <c:v>Nepatikslintos lokalizacijos</c:v>
                </c:pt>
                <c:pt idx="2">
                  <c:v>Šlapimo pūslės</c:v>
                </c:pt>
                <c:pt idx="3">
                  <c:v>Burnos ertmės ir ryklės</c:v>
                </c:pt>
                <c:pt idx="4">
                  <c:v>Tiesiosios žarnos, išangės</c:v>
                </c:pt>
                <c:pt idx="5">
                  <c:v>Skrandžio</c:v>
                </c:pt>
                <c:pt idx="6">
                  <c:v>Gaubtinės žarnos</c:v>
                </c:pt>
                <c:pt idx="7">
                  <c:v>Inkstų</c:v>
                </c:pt>
                <c:pt idx="8">
                  <c:v>Kiti odos piktybiniai navikai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GrafikaiSerg!$Y$54:$Y$64</c:f>
              <c:numCache>
                <c:formatCode>0%</c:formatCode>
                <c:ptCount val="11"/>
                <c:pt idx="0">
                  <c:v>0.16372306605439774</c:v>
                </c:pt>
                <c:pt idx="1">
                  <c:v>2.4373013069586717E-2</c:v>
                </c:pt>
                <c:pt idx="2">
                  <c:v>2.6315789473684209E-2</c:v>
                </c:pt>
                <c:pt idx="3">
                  <c:v>3.3733663016601904E-2</c:v>
                </c:pt>
                <c:pt idx="4">
                  <c:v>3.5323207347227131E-2</c:v>
                </c:pt>
                <c:pt idx="5">
                  <c:v>4.2211232779936415E-2</c:v>
                </c:pt>
                <c:pt idx="6">
                  <c:v>4.2387848816672555E-2</c:v>
                </c:pt>
                <c:pt idx="7">
                  <c:v>4.5743553514659134E-2</c:v>
                </c:pt>
                <c:pt idx="8">
                  <c:v>6.8880254327092896E-2</c:v>
                </c:pt>
                <c:pt idx="9">
                  <c:v>0.13087248322147652</c:v>
                </c:pt>
                <c:pt idx="10">
                  <c:v>0.38643588837866477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9-4129-BC16-FB021D36D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70040576"/>
        <c:axId val="70042368"/>
      </c:barChart>
      <c:catAx>
        <c:axId val="70040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7004236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70042368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70040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42712912419681E-4"/>
          <c:y val="0"/>
          <c:w val="0.76605197498460842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GrafikaiSerg!$AA$2:$AA$12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Kasos</c:v>
                </c:pt>
                <c:pt idx="3">
                  <c:v>Plaučių, trachėjos, bronchų</c:v>
                </c:pt>
                <c:pt idx="4">
                  <c:v>Skrandžio</c:v>
                </c:pt>
                <c:pt idx="5">
                  <c:v>Gimdos kaklelio</c:v>
                </c:pt>
                <c:pt idx="6">
                  <c:v>Kiaušidžių</c:v>
                </c:pt>
                <c:pt idx="7">
                  <c:v>Gaubtinės žarnos</c:v>
                </c:pt>
                <c:pt idx="8">
                  <c:v>Gimdos kūno</c:v>
                </c:pt>
                <c:pt idx="9">
                  <c:v>Kiti odos piktybiniai navikai</c:v>
                </c:pt>
                <c:pt idx="10">
                  <c:v>Krūties</c:v>
                </c:pt>
              </c:strCache>
            </c:strRef>
          </c:cat>
          <c:val>
            <c:numRef>
              <c:f>GrafikaiSerg!$AC$2:$AC$12</c:f>
              <c:numCache>
                <c:formatCode>0%</c:formatCode>
                <c:ptCount val="11"/>
                <c:pt idx="0">
                  <c:v>0.27512218381213494</c:v>
                </c:pt>
                <c:pt idx="1">
                  <c:v>3.3734652521158662E-2</c:v>
                </c:pt>
                <c:pt idx="2">
                  <c:v>3.4211467397782809E-2</c:v>
                </c:pt>
                <c:pt idx="3">
                  <c:v>3.6953152938371675E-2</c:v>
                </c:pt>
                <c:pt idx="4">
                  <c:v>3.7549171534151868E-2</c:v>
                </c:pt>
                <c:pt idx="5">
                  <c:v>4.5297413279294312E-2</c:v>
                </c:pt>
                <c:pt idx="6">
                  <c:v>4.5893431875074504E-2</c:v>
                </c:pt>
                <c:pt idx="7">
                  <c:v>5.4118488496841102E-2</c:v>
                </c:pt>
                <c:pt idx="8">
                  <c:v>7.3310287280963171E-2</c:v>
                </c:pt>
                <c:pt idx="9">
                  <c:v>0.16855405888663727</c:v>
                </c:pt>
                <c:pt idx="10">
                  <c:v>0.19525569197758971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6-4500-93A6-CF99E1967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052736"/>
        <c:axId val="94054272"/>
      </c:barChart>
      <c:catAx>
        <c:axId val="9405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05427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054272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052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18839360557497E-3"/>
          <c:y val="3.0351975233864291E-4"/>
          <c:w val="0.76795995983281173"/>
          <c:h val="0.998128407026044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GrafikaiSerg!$AA$15:$AA$25</c:f>
              <c:strCache>
                <c:ptCount val="11"/>
                <c:pt idx="3">
                  <c:v>Kiti</c:v>
                </c:pt>
                <c:pt idx="4">
                  <c:v>Kaulų ir jungiamojo audinio</c:v>
                </c:pt>
                <c:pt idx="5">
                  <c:v>Ne Hodžkino limfomos</c:v>
                </c:pt>
                <c:pt idx="6">
                  <c:v>Kiaušidžių</c:v>
                </c:pt>
                <c:pt idx="7">
                  <c:v>Inkstų</c:v>
                </c:pt>
                <c:pt idx="8">
                  <c:v>Hodžkino limfomos</c:v>
                </c:pt>
                <c:pt idx="9">
                  <c:v>Leukemijos</c:v>
                </c:pt>
                <c:pt idx="10">
                  <c:v>Smegenų</c:v>
                </c:pt>
              </c:strCache>
            </c:strRef>
          </c:cat>
          <c:val>
            <c:numRef>
              <c:f>GrafikaiSerg!$AC$15:$AC$25</c:f>
              <c:numCache>
                <c:formatCode>General</c:formatCode>
                <c:ptCount val="11"/>
                <c:pt idx="3" formatCode="0%">
                  <c:v>1.0000000000000001E-5</c:v>
                </c:pt>
                <c:pt idx="4" formatCode="0%">
                  <c:v>3.5714285714285712E-2</c:v>
                </c:pt>
                <c:pt idx="5" formatCode="0%">
                  <c:v>3.5714285714285712E-2</c:v>
                </c:pt>
                <c:pt idx="6" formatCode="0%">
                  <c:v>7.1428571428571425E-2</c:v>
                </c:pt>
                <c:pt idx="7" formatCode="0%">
                  <c:v>0.10714285714285714</c:v>
                </c:pt>
                <c:pt idx="8" formatCode="0%">
                  <c:v>0.14285714285714285</c:v>
                </c:pt>
                <c:pt idx="9" formatCode="0%">
                  <c:v>0.25</c:v>
                </c:pt>
                <c:pt idx="10" formatCode="0%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5-458E-9F59-900B250B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095232"/>
        <c:axId val="94096768"/>
      </c:barChart>
      <c:catAx>
        <c:axId val="94095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09676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096768"/>
        <c:scaling>
          <c:orientation val="minMax"/>
          <c:max val="0.5600000000000000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409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GrafikaiSerg!$AA$28:$AA$38</c:f>
              <c:strCache>
                <c:ptCount val="11"/>
                <c:pt idx="0">
                  <c:v>Kiti</c:v>
                </c:pt>
                <c:pt idx="1">
                  <c:v>Krūties</c:v>
                </c:pt>
                <c:pt idx="2">
                  <c:v>Odos melanoma</c:v>
                </c:pt>
                <c:pt idx="3">
                  <c:v>Kaulų ir jungiamojo audinio</c:v>
                </c:pt>
                <c:pt idx="4">
                  <c:v>Smegenų</c:v>
                </c:pt>
                <c:pt idx="5">
                  <c:v>Ne Hodžkino limfomos</c:v>
                </c:pt>
                <c:pt idx="6">
                  <c:v>Kiti odos piktybiniai navikai</c:v>
                </c:pt>
                <c:pt idx="7">
                  <c:v>Gimdos kaklelio</c:v>
                </c:pt>
                <c:pt idx="8">
                  <c:v>Kiaušidžių</c:v>
                </c:pt>
                <c:pt idx="9">
                  <c:v>Hodžkino limfomos</c:v>
                </c:pt>
                <c:pt idx="10">
                  <c:v>Skydliaukės</c:v>
                </c:pt>
              </c:strCache>
            </c:strRef>
          </c:cat>
          <c:val>
            <c:numRef>
              <c:f>GrafikaiSerg!$AC$28:$AC$38</c:f>
              <c:numCache>
                <c:formatCode>0%</c:formatCode>
                <c:ptCount val="11"/>
                <c:pt idx="0">
                  <c:v>0.17272727272727273</c:v>
                </c:pt>
                <c:pt idx="1">
                  <c:v>3.6363636363636362E-2</c:v>
                </c:pt>
                <c:pt idx="2">
                  <c:v>4.5454545454545456E-2</c:v>
                </c:pt>
                <c:pt idx="3">
                  <c:v>6.363636363636363E-2</c:v>
                </c:pt>
                <c:pt idx="4">
                  <c:v>6.363636363636363E-2</c:v>
                </c:pt>
                <c:pt idx="5">
                  <c:v>7.2727272727272724E-2</c:v>
                </c:pt>
                <c:pt idx="6">
                  <c:v>9.0909090909090912E-2</c:v>
                </c:pt>
                <c:pt idx="7">
                  <c:v>9.0909090909090912E-2</c:v>
                </c:pt>
                <c:pt idx="8">
                  <c:v>9.0909090909090912E-2</c:v>
                </c:pt>
                <c:pt idx="9">
                  <c:v>9.0909090909090912E-2</c:v>
                </c:pt>
                <c:pt idx="1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BAB-B890-C8F0E5058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748800"/>
        <c:axId val="92762880"/>
      </c:barChart>
      <c:catAx>
        <c:axId val="92748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76288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762880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748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GrafikaiSerg!$AA$41:$AA$51</c:f>
              <c:strCache>
                <c:ptCount val="11"/>
                <c:pt idx="0">
                  <c:v>Kiti</c:v>
                </c:pt>
                <c:pt idx="1">
                  <c:v>Skrandžio</c:v>
                </c:pt>
                <c:pt idx="2">
                  <c:v>Ne Hodžkino limfomos</c:v>
                </c:pt>
                <c:pt idx="3">
                  <c:v>Gaubtinės žarnos</c:v>
                </c:pt>
                <c:pt idx="4">
                  <c:v>Odos melanoma</c:v>
                </c:pt>
                <c:pt idx="5">
                  <c:v>Kiaušidžių</c:v>
                </c:pt>
                <c:pt idx="6">
                  <c:v>Skydliaukės</c:v>
                </c:pt>
                <c:pt idx="7">
                  <c:v>Gimdos kūno</c:v>
                </c:pt>
                <c:pt idx="8">
                  <c:v>Gimdos kaklelio</c:v>
                </c:pt>
                <c:pt idx="9">
                  <c:v>Kiti odos piktybiniai navikai</c:v>
                </c:pt>
                <c:pt idx="10">
                  <c:v>Krūties</c:v>
                </c:pt>
              </c:strCache>
            </c:strRef>
          </c:cat>
          <c:val>
            <c:numRef>
              <c:f>GrafikaiSerg!$AC$41:$AC$51</c:f>
              <c:numCache>
                <c:formatCode>0%</c:formatCode>
                <c:ptCount val="11"/>
                <c:pt idx="0">
                  <c:v>0.17125748502994012</c:v>
                </c:pt>
                <c:pt idx="1">
                  <c:v>2.215568862275449E-2</c:v>
                </c:pt>
                <c:pt idx="2">
                  <c:v>2.215568862275449E-2</c:v>
                </c:pt>
                <c:pt idx="3">
                  <c:v>2.2754491017964073E-2</c:v>
                </c:pt>
                <c:pt idx="4">
                  <c:v>2.3952095808383235E-2</c:v>
                </c:pt>
                <c:pt idx="5">
                  <c:v>5.3293413173652694E-2</c:v>
                </c:pt>
                <c:pt idx="6">
                  <c:v>7.5449101796407181E-2</c:v>
                </c:pt>
                <c:pt idx="7">
                  <c:v>8.0838323353293412E-2</c:v>
                </c:pt>
                <c:pt idx="8">
                  <c:v>0.10239520958083832</c:v>
                </c:pt>
                <c:pt idx="9">
                  <c:v>0.10538922155688622</c:v>
                </c:pt>
                <c:pt idx="10">
                  <c:v>0.32035928143712578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D-4520-A31B-7854FAE3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795264"/>
        <c:axId val="92796800"/>
      </c:barChart>
      <c:catAx>
        <c:axId val="927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79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796800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7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3598392793493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GrafikaiSerg!$AA$54:$AA$64</c:f>
              <c:strCache>
                <c:ptCount val="11"/>
                <c:pt idx="0">
                  <c:v>Kiti</c:v>
                </c:pt>
                <c:pt idx="1">
                  <c:v>Kasos</c:v>
                </c:pt>
                <c:pt idx="2">
                  <c:v>Tiesiosios žarnos, išangės</c:v>
                </c:pt>
                <c:pt idx="3">
                  <c:v>Gimdos kaklelio</c:v>
                </c:pt>
                <c:pt idx="4">
                  <c:v>Inkstų</c:v>
                </c:pt>
                <c:pt idx="5">
                  <c:v>Plaučių, trachėjos, bronchų</c:v>
                </c:pt>
                <c:pt idx="6">
                  <c:v>Kiaušidžių</c:v>
                </c:pt>
                <c:pt idx="7">
                  <c:v>Gaubtinės žarnos</c:v>
                </c:pt>
                <c:pt idx="8">
                  <c:v>Gimdos kūno</c:v>
                </c:pt>
                <c:pt idx="9">
                  <c:v>Kiti odos piktybiniai navikai</c:v>
                </c:pt>
                <c:pt idx="10">
                  <c:v>Krūties</c:v>
                </c:pt>
              </c:strCache>
            </c:strRef>
          </c:cat>
          <c:val>
            <c:numRef>
              <c:f>GrafikaiSerg!$AC$54:$AC$64</c:f>
              <c:numCache>
                <c:formatCode>0%</c:formatCode>
                <c:ptCount val="11"/>
                <c:pt idx="0">
                  <c:v>0.25703564727954969</c:v>
                </c:pt>
                <c:pt idx="1">
                  <c:v>3.4307156258375771E-2</c:v>
                </c:pt>
                <c:pt idx="2">
                  <c:v>3.5111230233181454E-2</c:v>
                </c:pt>
                <c:pt idx="3">
                  <c:v>3.5915304207987137E-2</c:v>
                </c:pt>
                <c:pt idx="4">
                  <c:v>3.8595550790672742E-2</c:v>
                </c:pt>
                <c:pt idx="5">
                  <c:v>4.1543822031626911E-2</c:v>
                </c:pt>
                <c:pt idx="6">
                  <c:v>4.7172339855266684E-2</c:v>
                </c:pt>
                <c:pt idx="7">
                  <c:v>5.601715357812919E-2</c:v>
                </c:pt>
                <c:pt idx="8">
                  <c:v>9.0056285178236398E-2</c:v>
                </c:pt>
                <c:pt idx="9">
                  <c:v>0.16108281961940499</c:v>
                </c:pt>
                <c:pt idx="10">
                  <c:v>0.203162690967569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7-4969-8BB7-6BB31198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808704"/>
        <c:axId val="92810240"/>
      </c:barChart>
      <c:catAx>
        <c:axId val="92808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8102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810240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80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715012475292443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GrafikaiSerg!$AA$67:$AA$77</c:f>
              <c:strCache>
                <c:ptCount val="11"/>
                <c:pt idx="0">
                  <c:v>Kiti</c:v>
                </c:pt>
                <c:pt idx="1">
                  <c:v>Kiaušidžių</c:v>
                </c:pt>
                <c:pt idx="2">
                  <c:v>Tiesiosios žarnos, išangės</c:v>
                </c:pt>
                <c:pt idx="3">
                  <c:v>Plaučių, trachėjos, bronchų</c:v>
                </c:pt>
                <c:pt idx="4">
                  <c:v>Nepatikslintos lokalizacijos</c:v>
                </c:pt>
                <c:pt idx="5">
                  <c:v>Kasos</c:v>
                </c:pt>
                <c:pt idx="6">
                  <c:v>Gimdos kūno</c:v>
                </c:pt>
                <c:pt idx="7">
                  <c:v>Skrandžio</c:v>
                </c:pt>
                <c:pt idx="8">
                  <c:v>Gaubtinės žarnos</c:v>
                </c:pt>
                <c:pt idx="9">
                  <c:v>Krūties</c:v>
                </c:pt>
                <c:pt idx="10">
                  <c:v>Kiti odos piktybiniai navikai</c:v>
                </c:pt>
              </c:strCache>
            </c:strRef>
          </c:cat>
          <c:val>
            <c:numRef>
              <c:f>GrafikaiSerg!$AC$67:$AC$77</c:f>
              <c:numCache>
                <c:formatCode>0%</c:formatCode>
                <c:ptCount val="11"/>
                <c:pt idx="0">
                  <c:v>0.27368421052631581</c:v>
                </c:pt>
                <c:pt idx="1">
                  <c:v>3.7894736842105266E-2</c:v>
                </c:pt>
                <c:pt idx="2">
                  <c:v>3.8596491228070177E-2</c:v>
                </c:pt>
                <c:pt idx="3">
                  <c:v>4.2456140350877192E-2</c:v>
                </c:pt>
                <c:pt idx="4">
                  <c:v>4.2807017543859648E-2</c:v>
                </c:pt>
                <c:pt idx="5">
                  <c:v>4.8771929824561404E-2</c:v>
                </c:pt>
                <c:pt idx="6">
                  <c:v>5.0175438596491227E-2</c:v>
                </c:pt>
                <c:pt idx="7">
                  <c:v>5.3333333333333337E-2</c:v>
                </c:pt>
                <c:pt idx="8">
                  <c:v>7.2631578947368422E-2</c:v>
                </c:pt>
                <c:pt idx="9">
                  <c:v>0.11964912280701755</c:v>
                </c:pt>
                <c:pt idx="1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B-4346-80AF-D2E283A3D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830336"/>
        <c:axId val="92840320"/>
      </c:barChart>
      <c:catAx>
        <c:axId val="92830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84032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840320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29662032986623"/>
          <c:h val="0.998316172016959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GrafikaiSerg!$W$67:$W$77</c:f>
              <c:strCache>
                <c:ptCount val="11"/>
                <c:pt idx="0">
                  <c:v>Kiti</c:v>
                </c:pt>
                <c:pt idx="1">
                  <c:v>Nepatikslintos lokalizacijos</c:v>
                </c:pt>
                <c:pt idx="2">
                  <c:v>Kasos</c:v>
                </c:pt>
                <c:pt idx="3">
                  <c:v>Inkstų</c:v>
                </c:pt>
                <c:pt idx="4">
                  <c:v>Tiesiosios žarnos, išangės</c:v>
                </c:pt>
                <c:pt idx="5">
                  <c:v>Šlapimo pūslės</c:v>
                </c:pt>
                <c:pt idx="6">
                  <c:v>Gaubtinės žarnos</c:v>
                </c:pt>
                <c:pt idx="7">
                  <c:v>Skrandžio</c:v>
                </c:pt>
                <c:pt idx="8">
                  <c:v>Kiti odos piktybiniai navikai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GrafikaiSerg!$Y$67:$Y$77</c:f>
              <c:numCache>
                <c:formatCode>0%</c:formatCode>
                <c:ptCount val="11"/>
                <c:pt idx="0">
                  <c:v>0.1658868566567418</c:v>
                </c:pt>
                <c:pt idx="1">
                  <c:v>3.1050616758826033E-2</c:v>
                </c:pt>
                <c:pt idx="2">
                  <c:v>3.1475967673330496E-2</c:v>
                </c:pt>
                <c:pt idx="3">
                  <c:v>4.1684389621437688E-2</c:v>
                </c:pt>
                <c:pt idx="4">
                  <c:v>4.9766056997022544E-2</c:v>
                </c:pt>
                <c:pt idx="5">
                  <c:v>5.6146320714589533E-2</c:v>
                </c:pt>
                <c:pt idx="6">
                  <c:v>6.1250531688643133E-2</c:v>
                </c:pt>
                <c:pt idx="7">
                  <c:v>7.6988515525308374E-2</c:v>
                </c:pt>
                <c:pt idx="8">
                  <c:v>0.1344108889834113</c:v>
                </c:pt>
                <c:pt idx="9">
                  <c:v>0.13908974904296045</c:v>
                </c:pt>
                <c:pt idx="10">
                  <c:v>0.21225010633772862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D-420E-94DD-F4338428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860416"/>
        <c:axId val="92861952"/>
      </c:barChart>
      <c:catAx>
        <c:axId val="92860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86195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861952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86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>
                <a:solidFill>
                  <a:schemeClr val="accent1"/>
                </a:solidFill>
              </a:rPr>
              <a:t>Vyrai  </a:t>
            </a:r>
            <a:r>
              <a:rPr lang="en-US" sz="1000" b="1"/>
              <a:t>                                                </a:t>
            </a:r>
            <a:r>
              <a:rPr lang="en-US" sz="1000" b="1" baseline="0"/>
              <a:t> </a:t>
            </a:r>
            <a:r>
              <a:rPr lang="en-US" sz="1000" b="1"/>
              <a:t>                    </a:t>
            </a:r>
            <a:r>
              <a:rPr lang="en-US" sz="1000" b="1">
                <a:solidFill>
                  <a:schemeClr val="accent2"/>
                </a:solidFill>
              </a:rPr>
              <a:t>Moterys</a:t>
            </a:r>
            <a:endParaRPr lang="lt-LT" sz="1000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0.13005707619880849"/>
          <c:y val="8.0142156143525438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09951881014874"/>
          <c:y val="7.4005966645473653E-2"/>
          <c:w val="0.82123179047063566"/>
          <c:h val="0.833162485124142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'Kiti grafikai'!$AB$4</c:f>
              <c:strCache>
                <c:ptCount val="1"/>
                <c:pt idx="0">
                  <c:v>Vyrai</c:v>
                </c:pt>
              </c:strCache>
            </c:strRef>
          </c:tx>
          <c:spPr>
            <a:ln>
              <a:solidFill>
                <a:schemeClr val="tx1">
                  <a:alpha val="70000"/>
                </a:schemeClr>
              </a:solidFill>
            </a:ln>
          </c:spPr>
          <c:invertIfNegative val="0"/>
          <c:cat>
            <c:strRef>
              <c:f>'Kiti grafikai'!$W$5:$W$22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'Kiti grafikai'!$AB$5:$AB$22</c:f>
              <c:numCache>
                <c:formatCode>0%</c:formatCode>
                <c:ptCount val="18"/>
                <c:pt idx="0">
                  <c:v>-5.7858695359704379E-2</c:v>
                </c:pt>
                <c:pt idx="1">
                  <c:v>-5.3268028569463916E-2</c:v>
                </c:pt>
                <c:pt idx="2">
                  <c:v>-5.1457024721734738E-2</c:v>
                </c:pt>
                <c:pt idx="3">
                  <c:v>-6.386572710720724E-2</c:v>
                </c:pt>
                <c:pt idx="4">
                  <c:v>-7.7324557600834717E-2</c:v>
                </c:pt>
                <c:pt idx="5">
                  <c:v>-7.5094249931984589E-2</c:v>
                </c:pt>
                <c:pt idx="6">
                  <c:v>-6.7513894577601846E-2</c:v>
                </c:pt>
                <c:pt idx="7">
                  <c:v>-6.5144566390519104E-2</c:v>
                </c:pt>
                <c:pt idx="8">
                  <c:v>-7.1282397012703183E-2</c:v>
                </c:pt>
                <c:pt idx="9">
                  <c:v>-7.398657031896988E-2</c:v>
                </c:pt>
                <c:pt idx="10">
                  <c:v>-7.9029427504536856E-2</c:v>
                </c:pt>
                <c:pt idx="11">
                  <c:v>-7.2022344932328397E-2</c:v>
                </c:pt>
                <c:pt idx="12">
                  <c:v>-5.4454187507287366E-2</c:v>
                </c:pt>
                <c:pt idx="13">
                  <c:v>-4.2783190775016966E-2</c:v>
                </c:pt>
                <c:pt idx="14">
                  <c:v>-3.5366520869521023E-2</c:v>
                </c:pt>
                <c:pt idx="15">
                  <c:v>-2.9541860124430837E-2</c:v>
                </c:pt>
                <c:pt idx="16">
                  <c:v>-1.8600347401811154E-2</c:v>
                </c:pt>
                <c:pt idx="17">
                  <c:v>-1.1406409294343809E-2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A-4259-A646-CDCB0696F375}"/>
            </c:ext>
          </c:extLst>
        </c:ser>
        <c:ser>
          <c:idx val="1"/>
          <c:order val="1"/>
          <c:tx>
            <c:strRef>
              <c:f>'Kiti grafikai'!$AC$4</c:f>
              <c:strCache>
                <c:ptCount val="1"/>
                <c:pt idx="0">
                  <c:v>Moterys</c:v>
                </c:pt>
              </c:strCache>
            </c:strRef>
          </c:tx>
          <c:spPr>
            <a:ln>
              <a:solidFill>
                <a:schemeClr val="tx1">
                  <a:alpha val="70000"/>
                </a:schemeClr>
              </a:solidFill>
            </a:ln>
          </c:spPr>
          <c:invertIfNegative val="0"/>
          <c:cat>
            <c:strRef>
              <c:f>'Kiti grafikai'!$W$5:$W$22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'Kiti grafikai'!$AC$5:$AC$22</c:f>
              <c:numCache>
                <c:formatCode>0%</c:formatCode>
                <c:ptCount val="18"/>
                <c:pt idx="0">
                  <c:v>4.6952158868854572E-2</c:v>
                </c:pt>
                <c:pt idx="1">
                  <c:v>4.3467106749424687E-2</c:v>
                </c:pt>
                <c:pt idx="2">
                  <c:v>4.173255782786995E-2</c:v>
                </c:pt>
                <c:pt idx="3">
                  <c:v>5.1578260830720021E-2</c:v>
                </c:pt>
                <c:pt idx="4">
                  <c:v>6.2579053439167615E-2</c:v>
                </c:pt>
                <c:pt idx="5">
                  <c:v>6.0718146649155251E-2</c:v>
                </c:pt>
                <c:pt idx="6">
                  <c:v>5.6019931358321562E-2</c:v>
                </c:pt>
                <c:pt idx="7">
                  <c:v>5.6920390713845373E-2</c:v>
                </c:pt>
                <c:pt idx="8">
                  <c:v>6.5323827137330578E-2</c:v>
                </c:pt>
                <c:pt idx="9">
                  <c:v>6.9452793849052119E-2</c:v>
                </c:pt>
                <c:pt idx="10">
                  <c:v>7.623336128522544E-2</c:v>
                </c:pt>
                <c:pt idx="11">
                  <c:v>7.4588156311064996E-2</c:v>
                </c:pt>
                <c:pt idx="12">
                  <c:v>6.24022800575375E-2</c:v>
                </c:pt>
                <c:pt idx="13">
                  <c:v>5.6170539726786206E-2</c:v>
                </c:pt>
                <c:pt idx="14">
                  <c:v>5.3742298870820139E-2</c:v>
                </c:pt>
                <c:pt idx="15">
                  <c:v>5.1700789672860757E-2</c:v>
                </c:pt>
                <c:pt idx="16">
                  <c:v>3.8957790090224625E-2</c:v>
                </c:pt>
                <c:pt idx="17">
                  <c:v>3.146055656173858E-2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A-4259-A646-CDCB0696F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412160"/>
        <c:axId val="46413696"/>
      </c:barChart>
      <c:catAx>
        <c:axId val="46412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46413696"/>
        <c:crosses val="autoZero"/>
        <c:auto val="1"/>
        <c:lblAlgn val="ctr"/>
        <c:lblOffset val="100"/>
        <c:tickLblSkip val="1"/>
        <c:noMultiLvlLbl val="0"/>
      </c:catAx>
      <c:valAx>
        <c:axId val="46413696"/>
        <c:scaling>
          <c:orientation val="minMax"/>
          <c:max val="0.1"/>
          <c:min val="-0.1"/>
        </c:scaling>
        <c:delete val="0"/>
        <c:axPos val="b"/>
        <c:numFmt formatCode="0%;0%" sourceLinked="0"/>
        <c:majorTickMark val="out"/>
        <c:minorTickMark val="none"/>
        <c:tickLblPos val="nextTo"/>
        <c:crossAx val="46412160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812578983182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GrafikaiSerg!$W$2:$W$12</c:f>
              <c:strCache>
                <c:ptCount val="11"/>
                <c:pt idx="0">
                  <c:v>Kiti</c:v>
                </c:pt>
                <c:pt idx="1">
                  <c:v>Leukemijos</c:v>
                </c:pt>
                <c:pt idx="2">
                  <c:v>Burnos ertmės ir ryklės</c:v>
                </c:pt>
                <c:pt idx="3">
                  <c:v>Šlapimo pūslės</c:v>
                </c:pt>
                <c:pt idx="4">
                  <c:v>Tiesiosios žarnos, išangės</c:v>
                </c:pt>
                <c:pt idx="5">
                  <c:v>Gaubtinės žarnos</c:v>
                </c:pt>
                <c:pt idx="6">
                  <c:v>Inkstų</c:v>
                </c:pt>
                <c:pt idx="7">
                  <c:v>Skrandžio</c:v>
                </c:pt>
                <c:pt idx="8">
                  <c:v>Kiti odos piktybiniai navikai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GrafikaiSerg!$Y$2:$Y$12</c:f>
              <c:numCache>
                <c:formatCode>0%</c:formatCode>
                <c:ptCount val="11"/>
                <c:pt idx="0">
                  <c:v>0.19379761777014701</c:v>
                </c:pt>
                <c:pt idx="1">
                  <c:v>2.6719605107844189E-2</c:v>
                </c:pt>
                <c:pt idx="2">
                  <c:v>3.1333834102371498E-2</c:v>
                </c:pt>
                <c:pt idx="3">
                  <c:v>3.219229531065565E-2</c:v>
                </c:pt>
                <c:pt idx="4">
                  <c:v>3.6806524305182962E-2</c:v>
                </c:pt>
                <c:pt idx="5">
                  <c:v>4.5176521085953429E-2</c:v>
                </c:pt>
                <c:pt idx="6">
                  <c:v>4.6786135851486214E-2</c:v>
                </c:pt>
                <c:pt idx="7">
                  <c:v>5.2688056658439744E-2</c:v>
                </c:pt>
                <c:pt idx="8">
                  <c:v>8.8314196802232001E-2</c:v>
                </c:pt>
                <c:pt idx="9">
                  <c:v>0.12780341238330292</c:v>
                </c:pt>
                <c:pt idx="10">
                  <c:v>0.31838180062238436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1-4C51-BDE7-5BC6422A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151808"/>
        <c:axId val="94153344"/>
      </c:barChart>
      <c:catAx>
        <c:axId val="94151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15334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153344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151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60344771718350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GrafikaiMirtVM!$W$15:$W$25</c:f>
              <c:strCache>
                <c:ptCount val="11"/>
                <c:pt idx="6">
                  <c:v>Kiti</c:v>
                </c:pt>
                <c:pt idx="7">
                  <c:v>Kitų endokrininių liaukų</c:v>
                </c:pt>
                <c:pt idx="8">
                  <c:v>Kaulų ir jungiamojo audinio</c:v>
                </c:pt>
                <c:pt idx="9">
                  <c:v>Leukemijos</c:v>
                </c:pt>
                <c:pt idx="10">
                  <c:v>Smegenų</c:v>
                </c:pt>
              </c:strCache>
            </c:strRef>
          </c:cat>
          <c:val>
            <c:numRef>
              <c:f>GrafikaiMirtVM!$Y$15:$Y$25</c:f>
              <c:numCache>
                <c:formatCode>General</c:formatCode>
                <c:ptCount val="11"/>
                <c:pt idx="6" formatCode="0%">
                  <c:v>1.0000000000000001E-5</c:v>
                </c:pt>
                <c:pt idx="7" formatCode="0%">
                  <c:v>7.6923076923076927E-2</c:v>
                </c:pt>
                <c:pt idx="8" formatCode="0%">
                  <c:v>0.15384615384615385</c:v>
                </c:pt>
                <c:pt idx="9" formatCode="0%">
                  <c:v>0.23076923076923078</c:v>
                </c:pt>
                <c:pt idx="10" formatCode="0%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9-4C9D-8795-604668E33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326144"/>
        <c:axId val="94352512"/>
      </c:barChart>
      <c:catAx>
        <c:axId val="94326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3525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352512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432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75813250625E-4"/>
          <c:y val="0"/>
          <c:w val="0.76583105996854928"/>
          <c:h val="0.999950535029275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GrafikaiMirtVM!$W$28:$W$38</c:f>
              <c:strCache>
                <c:ptCount val="11"/>
                <c:pt idx="0">
                  <c:v>Kiti</c:v>
                </c:pt>
                <c:pt idx="1">
                  <c:v>Gaubtinės žarnos</c:v>
                </c:pt>
                <c:pt idx="2">
                  <c:v>Kasos</c:v>
                </c:pt>
                <c:pt idx="3">
                  <c:v>Odos melanoma</c:v>
                </c:pt>
                <c:pt idx="4">
                  <c:v>Krūties</c:v>
                </c:pt>
                <c:pt idx="5">
                  <c:v>Gimdos kūno</c:v>
                </c:pt>
                <c:pt idx="6">
                  <c:v>Kiaušidžių</c:v>
                </c:pt>
                <c:pt idx="7">
                  <c:v>Inkstų</c:v>
                </c:pt>
                <c:pt idx="8">
                  <c:v>Sėklidžių</c:v>
                </c:pt>
                <c:pt idx="9">
                  <c:v>Kaulų ir jungiamojo audinio</c:v>
                </c:pt>
                <c:pt idx="10">
                  <c:v>Smegenų</c:v>
                </c:pt>
              </c:strCache>
            </c:strRef>
          </c:cat>
          <c:val>
            <c:numRef>
              <c:f>GrafikaiMirtVM!$Y$28:$Y$38</c:f>
              <c:numCache>
                <c:formatCode>0%</c:formatCode>
                <c:ptCount val="11"/>
                <c:pt idx="0">
                  <c:v>4.7619047619047616E-2</c:v>
                </c:pt>
                <c:pt idx="1">
                  <c:v>4.7619047619047616E-2</c:v>
                </c:pt>
                <c:pt idx="2">
                  <c:v>4.7619047619047616E-2</c:v>
                </c:pt>
                <c:pt idx="3">
                  <c:v>4.7619047619047616E-2</c:v>
                </c:pt>
                <c:pt idx="4">
                  <c:v>4.7619047619047616E-2</c:v>
                </c:pt>
                <c:pt idx="5">
                  <c:v>4.7619047619047616E-2</c:v>
                </c:pt>
                <c:pt idx="6">
                  <c:v>4.7619047619047616E-2</c:v>
                </c:pt>
                <c:pt idx="7">
                  <c:v>4.7619047619047616E-2</c:v>
                </c:pt>
                <c:pt idx="8">
                  <c:v>0.14285714285714285</c:v>
                </c:pt>
                <c:pt idx="9">
                  <c:v>0.19047619047619047</c:v>
                </c:pt>
                <c:pt idx="1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F-4FB2-BD20-4722B32D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823168"/>
        <c:axId val="94824704"/>
      </c:barChart>
      <c:catAx>
        <c:axId val="94823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482470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824704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19239557627272E-4"/>
          <c:y val="0"/>
          <c:w val="0.7683053795063739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GrafikaiMirtVM!$W$41:$W$51</c:f>
              <c:numCache>
                <c:formatCode>General</c:formatCode>
                <c:ptCount val="11"/>
              </c:numCache>
            </c:numRef>
          </c:cat>
          <c:val>
            <c:numRef>
              <c:f>GrafikaiMirtVM!$Y$41:$Y$51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EEBC-4FC9-B7B9-43AD60AA9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394240"/>
        <c:axId val="94395776"/>
      </c:barChart>
      <c:catAx>
        <c:axId val="94394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3957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395776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4394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44729593985939"/>
          <c:h val="0.999396325459317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GrafikaiMirtVM!$W$54:$W$64</c:f>
              <c:numCache>
                <c:formatCode>General</c:formatCode>
                <c:ptCount val="11"/>
              </c:numCache>
            </c:numRef>
          </c:cat>
          <c:val>
            <c:numRef>
              <c:f>GrafikaiMirtVM!$Y$54:$Y$64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A95F-4F71-A509-3D60F7CC0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415872"/>
        <c:axId val="94425856"/>
      </c:barChart>
      <c:catAx>
        <c:axId val="94415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42585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94425856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4415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42712912419681E-4"/>
          <c:y val="0"/>
          <c:w val="0.76605197498460842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GrafikaiMirtVM!$AA$2:$AA$12</c:f>
              <c:strCache>
                <c:ptCount val="11"/>
                <c:pt idx="0">
                  <c:v>Kiti</c:v>
                </c:pt>
                <c:pt idx="1">
                  <c:v>Stemplės</c:v>
                </c:pt>
                <c:pt idx="2">
                  <c:v>Tiesiosios žarnos, išangės</c:v>
                </c:pt>
                <c:pt idx="3">
                  <c:v>Kasos</c:v>
                </c:pt>
                <c:pt idx="4">
                  <c:v>Smegenų</c:v>
                </c:pt>
                <c:pt idx="5">
                  <c:v>Kiaušidžių</c:v>
                </c:pt>
                <c:pt idx="6">
                  <c:v>Gimdos kaklelio</c:v>
                </c:pt>
                <c:pt idx="7">
                  <c:v>Burnos ertmės ir ryklės</c:v>
                </c:pt>
                <c:pt idx="8">
                  <c:v>Skrandžio</c:v>
                </c:pt>
                <c:pt idx="9">
                  <c:v>Krūties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GrafikaiMirtVM!$AC$2:$AC$12</c:f>
              <c:numCache>
                <c:formatCode>0%</c:formatCode>
                <c:ptCount val="11"/>
                <c:pt idx="0">
                  <c:v>0.29081081081081084</c:v>
                </c:pt>
                <c:pt idx="1">
                  <c:v>3.027027027027027E-2</c:v>
                </c:pt>
                <c:pt idx="2">
                  <c:v>3.783783783783784E-2</c:v>
                </c:pt>
                <c:pt idx="3">
                  <c:v>4.6486486486486484E-2</c:v>
                </c:pt>
                <c:pt idx="4">
                  <c:v>5.0810810810810812E-2</c:v>
                </c:pt>
                <c:pt idx="5">
                  <c:v>5.2972972972972973E-2</c:v>
                </c:pt>
                <c:pt idx="6">
                  <c:v>7.1351351351351358E-2</c:v>
                </c:pt>
                <c:pt idx="7">
                  <c:v>8.8648648648648645E-2</c:v>
                </c:pt>
                <c:pt idx="8">
                  <c:v>9.4054054054054051E-2</c:v>
                </c:pt>
                <c:pt idx="9">
                  <c:v>0.10810810810810811</c:v>
                </c:pt>
                <c:pt idx="10">
                  <c:v>0.12864864864864864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D-407F-B19B-5D472BDC8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466432"/>
        <c:axId val="94467968"/>
      </c:barChart>
      <c:catAx>
        <c:axId val="94466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46796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46796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466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18839360557497E-3"/>
          <c:y val="3.0351975233864291E-4"/>
          <c:w val="0.76795995983281173"/>
          <c:h val="0.998128407026044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GrafikaiMirtVM!$AA$15:$AA$25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Burnos ertmės ir ryklės</c:v>
                </c:pt>
                <c:pt idx="3">
                  <c:v>Nepatikslintos lokalizacijos</c:v>
                </c:pt>
                <c:pt idx="4">
                  <c:v>Tiesiosios žarnos, išangės</c:v>
                </c:pt>
                <c:pt idx="5">
                  <c:v>Priešinės liaukos</c:v>
                </c:pt>
                <c:pt idx="6">
                  <c:v>Gaubtinės žarnos</c:v>
                </c:pt>
                <c:pt idx="7">
                  <c:v>Kasos</c:v>
                </c:pt>
                <c:pt idx="8">
                  <c:v>Krūties</c:v>
                </c:pt>
                <c:pt idx="9">
                  <c:v>Skrandžio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GrafikaiMirtVM!$AC$15:$AC$25</c:f>
              <c:numCache>
                <c:formatCode>0%</c:formatCode>
                <c:ptCount val="11"/>
                <c:pt idx="0">
                  <c:v>0.31891476836447402</c:v>
                </c:pt>
                <c:pt idx="1">
                  <c:v>3.5065267468646022E-2</c:v>
                </c:pt>
                <c:pt idx="2">
                  <c:v>4.3511645764013313E-2</c:v>
                </c:pt>
                <c:pt idx="3">
                  <c:v>4.811876119785001E-2</c:v>
                </c:pt>
                <c:pt idx="4">
                  <c:v>4.8886613770156129E-2</c:v>
                </c:pt>
                <c:pt idx="5">
                  <c:v>4.9654466342462247E-2</c:v>
                </c:pt>
                <c:pt idx="6">
                  <c:v>5.5285385206040441E-2</c:v>
                </c:pt>
                <c:pt idx="7">
                  <c:v>5.605323777834656E-2</c:v>
                </c:pt>
                <c:pt idx="8">
                  <c:v>6.7826977220373688E-2</c:v>
                </c:pt>
                <c:pt idx="9">
                  <c:v>7.2178141796775022E-2</c:v>
                </c:pt>
                <c:pt idx="10">
                  <c:v>0.20450473509086256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7-48CA-B560-AD473B749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488448"/>
        <c:axId val="94489984"/>
      </c:barChart>
      <c:catAx>
        <c:axId val="94488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48998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489984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48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GrafikaiMirtVM!$AA$28:$AA$38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Šlapimo pūslės</c:v>
                </c:pt>
                <c:pt idx="3">
                  <c:v>Nepatikslintos lokalizacijos</c:v>
                </c:pt>
                <c:pt idx="4">
                  <c:v>Kasos</c:v>
                </c:pt>
                <c:pt idx="5">
                  <c:v>Krūties</c:v>
                </c:pt>
                <c:pt idx="6">
                  <c:v>Tiesiosios žarnos, išangės</c:v>
                </c:pt>
                <c:pt idx="7">
                  <c:v>Gaubtinės žarnos</c:v>
                </c:pt>
                <c:pt idx="8">
                  <c:v>Skrandžio</c:v>
                </c:pt>
                <c:pt idx="9">
                  <c:v>Priešinės liaukos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GrafikaiMirtVM!$AC$28:$AC$38</c:f>
              <c:numCache>
                <c:formatCode>0%</c:formatCode>
                <c:ptCount val="11"/>
                <c:pt idx="0">
                  <c:v>0.28871014076414825</c:v>
                </c:pt>
                <c:pt idx="1">
                  <c:v>3.5909221488078139E-2</c:v>
                </c:pt>
                <c:pt idx="2">
                  <c:v>4.2516518241884516E-2</c:v>
                </c:pt>
                <c:pt idx="3">
                  <c:v>5.4869290433783392E-2</c:v>
                </c:pt>
                <c:pt idx="4">
                  <c:v>5.9178397012352772E-2</c:v>
                </c:pt>
                <c:pt idx="5">
                  <c:v>6.004021832806665E-2</c:v>
                </c:pt>
                <c:pt idx="6">
                  <c:v>6.1476587187589776E-2</c:v>
                </c:pt>
                <c:pt idx="7">
                  <c:v>8.618213157138753E-2</c:v>
                </c:pt>
                <c:pt idx="8">
                  <c:v>8.9629416834243039E-2</c:v>
                </c:pt>
                <c:pt idx="9">
                  <c:v>9.8534903763286413E-2</c:v>
                </c:pt>
                <c:pt idx="10">
                  <c:v>0.12295317437517955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4-433D-8E91-9EAB72154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5312896"/>
        <c:axId val="95318784"/>
      </c:barChart>
      <c:catAx>
        <c:axId val="95312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531878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5318784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5312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GrafikaiMirtVM!$AA$41:$AA$51</c:f>
              <c:numCache>
                <c:formatCode>General</c:formatCode>
                <c:ptCount val="11"/>
              </c:numCache>
            </c:numRef>
          </c:cat>
          <c:val>
            <c:numRef>
              <c:f>GrafikaiMirtVM!$AC$41:$AC$51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8589-4770-84D3-D83100141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649024"/>
        <c:axId val="97650560"/>
      </c:barChart>
      <c:catAx>
        <c:axId val="97649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65056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650560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64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3598392793493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GrafikaiMirtVM!$AA$54:$AA$64</c:f>
              <c:numCache>
                <c:formatCode>General</c:formatCode>
                <c:ptCount val="11"/>
              </c:numCache>
            </c:numRef>
          </c:cat>
          <c:val>
            <c:numRef>
              <c:f>GrafikaiMirtVM!$AC$54:$AC$64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4767-4CBF-9D90-6F2C1E68F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674752"/>
        <c:axId val="97676288"/>
      </c:barChart>
      <c:catAx>
        <c:axId val="97674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6762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676288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67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24020608535046E-4"/>
          <c:y val="0"/>
          <c:w val="0.7660344771718350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GrafikaiSergVM!$W$15:$W$25</c:f>
              <c:strCache>
                <c:ptCount val="11"/>
                <c:pt idx="0">
                  <c:v>Kiti</c:v>
                </c:pt>
                <c:pt idx="1">
                  <c:v>Kepenų</c:v>
                </c:pt>
                <c:pt idx="2">
                  <c:v>Kitų virškinimo sistemos organų</c:v>
                </c:pt>
                <c:pt idx="3">
                  <c:v>Kiaušidžių</c:v>
                </c:pt>
                <c:pt idx="4">
                  <c:v>Akių</c:v>
                </c:pt>
                <c:pt idx="5">
                  <c:v>Hodžkino limfomos</c:v>
                </c:pt>
                <c:pt idx="6">
                  <c:v>Kaulų ir jungiamojo audinio</c:v>
                </c:pt>
                <c:pt idx="7">
                  <c:v>Inkstų</c:v>
                </c:pt>
                <c:pt idx="8">
                  <c:v>Ne Hodžkino limfomos</c:v>
                </c:pt>
                <c:pt idx="9">
                  <c:v>Smegenų</c:v>
                </c:pt>
                <c:pt idx="10">
                  <c:v>Leukemijos</c:v>
                </c:pt>
              </c:strCache>
            </c:strRef>
          </c:cat>
          <c:val>
            <c:numRef>
              <c:f>GrafikaiSergVM!$Y$15:$Y$25</c:f>
              <c:numCache>
                <c:formatCode>0%</c:formatCode>
                <c:ptCount val="11"/>
                <c:pt idx="0">
                  <c:v>4.0540540540540543E-2</c:v>
                </c:pt>
                <c:pt idx="1">
                  <c:v>1.3513513513513514E-2</c:v>
                </c:pt>
                <c:pt idx="2">
                  <c:v>1.3513513513513514E-2</c:v>
                </c:pt>
                <c:pt idx="3">
                  <c:v>2.7027027027027029E-2</c:v>
                </c:pt>
                <c:pt idx="4">
                  <c:v>4.0540540540540543E-2</c:v>
                </c:pt>
                <c:pt idx="5">
                  <c:v>5.4054054054054057E-2</c:v>
                </c:pt>
                <c:pt idx="6">
                  <c:v>9.45945945945946E-2</c:v>
                </c:pt>
                <c:pt idx="7">
                  <c:v>9.45945945945946E-2</c:v>
                </c:pt>
                <c:pt idx="8">
                  <c:v>9.45945945945946E-2</c:v>
                </c:pt>
                <c:pt idx="9">
                  <c:v>0.25675675675675674</c:v>
                </c:pt>
                <c:pt idx="10">
                  <c:v>0.27027027027027029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D-40B0-B11D-5E314ED7B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48115072"/>
        <c:axId val="48120960"/>
      </c:barChart>
      <c:catAx>
        <c:axId val="48115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4812096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812096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48115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715012475292443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GrafikaiMirtVM!$AA$67:$AA$77</c:f>
              <c:numCache>
                <c:formatCode>General</c:formatCode>
                <c:ptCount val="11"/>
              </c:numCache>
            </c:numRef>
          </c:cat>
          <c:val>
            <c:numRef>
              <c:f>GrafikaiMirtVM!$AC$67:$AC$77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3148-4897-B05F-8B873380D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704576"/>
        <c:axId val="97722752"/>
      </c:barChart>
      <c:catAx>
        <c:axId val="97704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72275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722752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704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29662032986623"/>
          <c:h val="0.998316172016959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GrafikaiMirtVM!$W$67:$W$77</c:f>
              <c:numCache>
                <c:formatCode>General</c:formatCode>
                <c:ptCount val="11"/>
              </c:numCache>
            </c:numRef>
          </c:cat>
          <c:val>
            <c:numRef>
              <c:f>GrafikaiMirtVM!$Y$67:$Y$77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8D03-4919-86B4-CB6274734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742848"/>
        <c:axId val="97744384"/>
      </c:barChart>
      <c:catAx>
        <c:axId val="97742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74438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744384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742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812578983182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GrafikaiMirtVM!$W$2:$W$12</c:f>
              <c:strCache>
                <c:ptCount val="11"/>
                <c:pt idx="0">
                  <c:v>Kiti</c:v>
                </c:pt>
                <c:pt idx="1">
                  <c:v>Burnos ertmės ir ryklės</c:v>
                </c:pt>
                <c:pt idx="2">
                  <c:v>Inkstų</c:v>
                </c:pt>
                <c:pt idx="3">
                  <c:v>Nepatikslintos lokalizacijos</c:v>
                </c:pt>
                <c:pt idx="4">
                  <c:v>Tiesiosios žarnos, išangės</c:v>
                </c:pt>
                <c:pt idx="5">
                  <c:v>Kasos</c:v>
                </c:pt>
                <c:pt idx="6">
                  <c:v>Gaubtinės žarnos</c:v>
                </c:pt>
                <c:pt idx="7">
                  <c:v>Priešinės liaukos</c:v>
                </c:pt>
                <c:pt idx="8">
                  <c:v>Krūties</c:v>
                </c:pt>
                <c:pt idx="9">
                  <c:v>Skrandžio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GrafikaiMirtVM!$Y$2:$Y$12</c:f>
              <c:numCache>
                <c:formatCode>0%</c:formatCode>
                <c:ptCount val="11"/>
                <c:pt idx="0">
                  <c:v>0.33185575655924282</c:v>
                </c:pt>
                <c:pt idx="1">
                  <c:v>3.4623217922606926E-2</c:v>
                </c:pt>
                <c:pt idx="2">
                  <c:v>3.4743021444830477E-2</c:v>
                </c:pt>
                <c:pt idx="3">
                  <c:v>4.8041212411644905E-2</c:v>
                </c:pt>
                <c:pt idx="4">
                  <c:v>5.2713549778363483E-2</c:v>
                </c:pt>
                <c:pt idx="5">
                  <c:v>5.6187851922846532E-2</c:v>
                </c:pt>
                <c:pt idx="6">
                  <c:v>6.4933509045165927E-2</c:v>
                </c:pt>
                <c:pt idx="7">
                  <c:v>6.5173116089613028E-2</c:v>
                </c:pt>
                <c:pt idx="8">
                  <c:v>6.8887025278543193E-2</c:v>
                </c:pt>
                <c:pt idx="9">
                  <c:v>8.158619863423984E-2</c:v>
                </c:pt>
                <c:pt idx="10">
                  <c:v>0.16125554091290284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A-40F8-8D8E-914D31B64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780864"/>
        <c:axId val="97782400"/>
      </c:barChart>
      <c:catAx>
        <c:axId val="97780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7824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78240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7780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60344771718350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GrafikaiMirt!$W$15:$W$25</c:f>
              <c:strCache>
                <c:ptCount val="11"/>
                <c:pt idx="6">
                  <c:v>Kiti</c:v>
                </c:pt>
                <c:pt idx="7">
                  <c:v>Kitų endokrininių liaukų</c:v>
                </c:pt>
                <c:pt idx="8">
                  <c:v>Kaulų ir jungiamojo audinio</c:v>
                </c:pt>
                <c:pt idx="9">
                  <c:v>Leukemijos</c:v>
                </c:pt>
                <c:pt idx="10">
                  <c:v>Smegenų</c:v>
                </c:pt>
              </c:strCache>
            </c:strRef>
          </c:cat>
          <c:val>
            <c:numRef>
              <c:f>GrafikaiMirt!$Y$15:$Y$25</c:f>
              <c:numCache>
                <c:formatCode>General</c:formatCode>
                <c:ptCount val="11"/>
                <c:pt idx="6" formatCode="0%">
                  <c:v>1.0000000000000001E-5</c:v>
                </c:pt>
                <c:pt idx="7" formatCode="0%">
                  <c:v>0.125</c:v>
                </c:pt>
                <c:pt idx="8" formatCode="0%">
                  <c:v>0.25</c:v>
                </c:pt>
                <c:pt idx="9" formatCode="0%">
                  <c:v>0.25</c:v>
                </c:pt>
                <c:pt idx="10" formatCode="0%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B-483E-9163-037EECC6B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979392"/>
        <c:axId val="98022144"/>
      </c:barChart>
      <c:catAx>
        <c:axId val="9797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02214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022144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97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75813250625E-4"/>
          <c:y val="0"/>
          <c:w val="0.76583105996854928"/>
          <c:h val="0.999950535029275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GrafikaiMirt!$W$28:$W$38</c:f>
              <c:strCache>
                <c:ptCount val="11"/>
                <c:pt idx="0">
                  <c:v>Kiti</c:v>
                </c:pt>
                <c:pt idx="1">
                  <c:v>Lūpos</c:v>
                </c:pt>
                <c:pt idx="2">
                  <c:v>Burnos ertmės ir ryklės</c:v>
                </c:pt>
                <c:pt idx="3">
                  <c:v>Stemplės</c:v>
                </c:pt>
                <c:pt idx="4">
                  <c:v>Skrandžio</c:v>
                </c:pt>
                <c:pt idx="5">
                  <c:v>Gaubtinės žarnos</c:v>
                </c:pt>
                <c:pt idx="6">
                  <c:v>Odos melanoma</c:v>
                </c:pt>
                <c:pt idx="7">
                  <c:v>Inkstų</c:v>
                </c:pt>
                <c:pt idx="8">
                  <c:v>Kaulų ir jungiamojo audinio</c:v>
                </c:pt>
                <c:pt idx="9">
                  <c:v>Sėklidžių</c:v>
                </c:pt>
                <c:pt idx="10">
                  <c:v>Smegenų</c:v>
                </c:pt>
              </c:strCache>
            </c:strRef>
          </c:cat>
          <c:val>
            <c:numRef>
              <c:f>GrafikaiMirt!$Y$28:$Y$38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  <c:pt idx="6">
                  <c:v>7.6923076923076927E-2</c:v>
                </c:pt>
                <c:pt idx="7">
                  <c:v>7.6923076923076927E-2</c:v>
                </c:pt>
                <c:pt idx="8">
                  <c:v>0.15384615384615385</c:v>
                </c:pt>
                <c:pt idx="9">
                  <c:v>0.23076923076923078</c:v>
                </c:pt>
                <c:pt idx="10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A-4D53-8222-53B5B629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517376"/>
        <c:axId val="98518912"/>
      </c:barChart>
      <c:catAx>
        <c:axId val="98517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85189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518912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517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19239557627272E-4"/>
          <c:y val="0"/>
          <c:w val="0.7683053795063739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GrafikaiMirt!$W$41:$W$51</c:f>
              <c:strCache>
                <c:ptCount val="11"/>
                <c:pt idx="0">
                  <c:v>Kiti</c:v>
                </c:pt>
                <c:pt idx="1">
                  <c:v>Tiesiosios žarnos, išangės</c:v>
                </c:pt>
                <c:pt idx="2">
                  <c:v>Kepenų</c:v>
                </c:pt>
                <c:pt idx="3">
                  <c:v>Gerklų</c:v>
                </c:pt>
                <c:pt idx="4">
                  <c:v>Inkstų</c:v>
                </c:pt>
                <c:pt idx="5">
                  <c:v>Stemplės</c:v>
                </c:pt>
                <c:pt idx="6">
                  <c:v>Kasos</c:v>
                </c:pt>
                <c:pt idx="7">
                  <c:v>Smegenų</c:v>
                </c:pt>
                <c:pt idx="8">
                  <c:v>Skrandžio</c:v>
                </c:pt>
                <c:pt idx="9">
                  <c:v>Burnos ertmės ir ryklės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GrafikaiMirt!$Y$41:$Y$51</c:f>
              <c:numCache>
                <c:formatCode>0%</c:formatCode>
                <c:ptCount val="11"/>
                <c:pt idx="0">
                  <c:v>0.2219959266802444</c:v>
                </c:pt>
                <c:pt idx="1">
                  <c:v>4.0733197556008148E-2</c:v>
                </c:pt>
                <c:pt idx="2">
                  <c:v>4.0733197556008148E-2</c:v>
                </c:pt>
                <c:pt idx="3">
                  <c:v>4.0733197556008148E-2</c:v>
                </c:pt>
                <c:pt idx="4">
                  <c:v>4.4806517311608958E-2</c:v>
                </c:pt>
                <c:pt idx="5">
                  <c:v>5.0916496945010187E-2</c:v>
                </c:pt>
                <c:pt idx="6">
                  <c:v>5.9063136456211814E-2</c:v>
                </c:pt>
                <c:pt idx="7">
                  <c:v>5.9063136456211814E-2</c:v>
                </c:pt>
                <c:pt idx="8">
                  <c:v>0.10386965376782077</c:v>
                </c:pt>
                <c:pt idx="9">
                  <c:v>0.13645621181262729</c:v>
                </c:pt>
                <c:pt idx="10">
                  <c:v>0.20162932790224034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6-4050-AF04-A4C092D43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543104"/>
        <c:axId val="98544640"/>
      </c:barChart>
      <c:catAx>
        <c:axId val="98543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5446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54464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543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44729593985939"/>
          <c:h val="0.999396325459317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GrafikaiMirt!$W$54:$W$64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Gaubtinės žarnos</c:v>
                </c:pt>
                <c:pt idx="3">
                  <c:v>Stemplės</c:v>
                </c:pt>
                <c:pt idx="4">
                  <c:v>Tiesiosios žarnos, išangės</c:v>
                </c:pt>
                <c:pt idx="5">
                  <c:v>Kasos</c:v>
                </c:pt>
                <c:pt idx="6">
                  <c:v>Nepatikslintos lokalizacijos</c:v>
                </c:pt>
                <c:pt idx="7">
                  <c:v>Burnos ertmės ir ryklės</c:v>
                </c:pt>
                <c:pt idx="8">
                  <c:v>Skrandžio</c:v>
                </c:pt>
                <c:pt idx="9">
                  <c:v>Priešinės liaukos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GrafikaiMirt!$Y$54:$Y$64</c:f>
              <c:numCache>
                <c:formatCode>0%</c:formatCode>
                <c:ptCount val="11"/>
                <c:pt idx="0">
                  <c:v>0.208298755186722</c:v>
                </c:pt>
                <c:pt idx="1">
                  <c:v>3.9834024896265557E-2</c:v>
                </c:pt>
                <c:pt idx="2">
                  <c:v>4.6473029045643155E-2</c:v>
                </c:pt>
                <c:pt idx="3">
                  <c:v>4.6887966804979253E-2</c:v>
                </c:pt>
                <c:pt idx="4">
                  <c:v>4.8962655601659751E-2</c:v>
                </c:pt>
                <c:pt idx="5">
                  <c:v>5.2697095435684647E-2</c:v>
                </c:pt>
                <c:pt idx="6">
                  <c:v>5.3526970954356844E-2</c:v>
                </c:pt>
                <c:pt idx="7">
                  <c:v>5.9336099585062238E-2</c:v>
                </c:pt>
                <c:pt idx="8">
                  <c:v>7.8008298755186722E-2</c:v>
                </c:pt>
                <c:pt idx="9">
                  <c:v>8.0497925311203325E-2</c:v>
                </c:pt>
                <c:pt idx="10">
                  <c:v>0.2854771784232365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C-497C-B495-509F8C37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560640"/>
        <c:axId val="98066816"/>
      </c:barChart>
      <c:catAx>
        <c:axId val="98560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06681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98066816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56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42712912419681E-4"/>
          <c:y val="0"/>
          <c:w val="0.76605197498460842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GrafikaiMirt!$AA$2:$AA$12</c:f>
              <c:strCache>
                <c:ptCount val="11"/>
                <c:pt idx="0">
                  <c:v>Kiti</c:v>
                </c:pt>
                <c:pt idx="1">
                  <c:v>Gimdos kūno</c:v>
                </c:pt>
                <c:pt idx="2">
                  <c:v>Tiesiosios žarnos, išangės</c:v>
                </c:pt>
                <c:pt idx="3">
                  <c:v>Nepatikslintos lokalizacijos</c:v>
                </c:pt>
                <c:pt idx="4">
                  <c:v>Gimdos kaklelio</c:v>
                </c:pt>
                <c:pt idx="5">
                  <c:v>Kasos</c:v>
                </c:pt>
                <c:pt idx="6">
                  <c:v>Plaučių, trachėjos, bronchų</c:v>
                </c:pt>
                <c:pt idx="7">
                  <c:v>Skrandžio</c:v>
                </c:pt>
                <c:pt idx="8">
                  <c:v>Kiaušidžių</c:v>
                </c:pt>
                <c:pt idx="9">
                  <c:v>Gaubtinės žarnos</c:v>
                </c:pt>
                <c:pt idx="10">
                  <c:v>Krūties</c:v>
                </c:pt>
              </c:strCache>
            </c:strRef>
          </c:cat>
          <c:val>
            <c:numRef>
              <c:f>GrafikaiMirt!$AC$2:$AC$12</c:f>
              <c:numCache>
                <c:formatCode>0%</c:formatCode>
                <c:ptCount val="11"/>
                <c:pt idx="0">
                  <c:v>0.28903295515937333</c:v>
                </c:pt>
                <c:pt idx="1">
                  <c:v>4.1329011345218804E-2</c:v>
                </c:pt>
                <c:pt idx="2">
                  <c:v>5.0783360345759046E-2</c:v>
                </c:pt>
                <c:pt idx="3">
                  <c:v>5.2404105888708807E-2</c:v>
                </c:pt>
                <c:pt idx="4">
                  <c:v>5.5915721231766614E-2</c:v>
                </c:pt>
                <c:pt idx="5">
                  <c:v>6.5640194489465148E-2</c:v>
                </c:pt>
                <c:pt idx="6">
                  <c:v>6.6450567260940036E-2</c:v>
                </c:pt>
                <c:pt idx="7">
                  <c:v>7.2393300918422471E-2</c:v>
                </c:pt>
                <c:pt idx="8">
                  <c:v>7.5094543490005397E-2</c:v>
                </c:pt>
                <c:pt idx="9">
                  <c:v>7.698541329011345E-2</c:v>
                </c:pt>
                <c:pt idx="10">
                  <c:v>0.1539708265802269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9-43BF-843F-5ADD81C06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086912"/>
        <c:axId val="98088448"/>
      </c:barChart>
      <c:catAx>
        <c:axId val="98086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08844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08844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086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18839360557497E-3"/>
          <c:y val="3.0351975233864291E-4"/>
          <c:w val="0.76795995983281173"/>
          <c:h val="0.998128407026044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GrafikaiMirt!$AA$15:$AA$25</c:f>
              <c:strCache>
                <c:ptCount val="11"/>
                <c:pt idx="8">
                  <c:v>Kiti</c:v>
                </c:pt>
                <c:pt idx="9">
                  <c:v>Leukemijos</c:v>
                </c:pt>
                <c:pt idx="10">
                  <c:v>Smegenų</c:v>
                </c:pt>
              </c:strCache>
            </c:strRef>
          </c:cat>
          <c:val>
            <c:numRef>
              <c:f>GrafikaiMirt!$AC$15:$AC$25</c:f>
              <c:numCache>
                <c:formatCode>General</c:formatCode>
                <c:ptCount val="11"/>
                <c:pt idx="8" formatCode="0%">
                  <c:v>1.0000000000000001E-5</c:v>
                </c:pt>
                <c:pt idx="9" formatCode="0%">
                  <c:v>0.2</c:v>
                </c:pt>
                <c:pt idx="10" formatCode="0%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3-4608-8788-2425F0D46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579968"/>
        <c:axId val="98581504"/>
      </c:barChart>
      <c:catAx>
        <c:axId val="98579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58150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581504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8579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GrafikaiMirt!$AA$28:$AA$38</c:f>
              <c:strCache>
                <c:ptCount val="11"/>
                <c:pt idx="0">
                  <c:v>Kiti</c:v>
                </c:pt>
                <c:pt idx="1">
                  <c:v>Lūpos</c:v>
                </c:pt>
                <c:pt idx="2">
                  <c:v>Burnos ertmės ir ryklės</c:v>
                </c:pt>
                <c:pt idx="3">
                  <c:v>Stemplės</c:v>
                </c:pt>
                <c:pt idx="4">
                  <c:v>Kasos</c:v>
                </c:pt>
                <c:pt idx="5">
                  <c:v>Krūties</c:v>
                </c:pt>
                <c:pt idx="6">
                  <c:v>Gimdos kūno</c:v>
                </c:pt>
                <c:pt idx="7">
                  <c:v>Kiaušidžių</c:v>
                </c:pt>
                <c:pt idx="8">
                  <c:v>Smegenų</c:v>
                </c:pt>
                <c:pt idx="9">
                  <c:v>Leukemijos</c:v>
                </c:pt>
                <c:pt idx="10">
                  <c:v>Kaulų ir jungiamojo audinio</c:v>
                </c:pt>
              </c:strCache>
            </c:strRef>
          </c:cat>
          <c:val>
            <c:numRef>
              <c:f>GrafikaiMirt!$AC$28:$AC$38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0.125</c:v>
                </c:pt>
                <c:pt idx="9">
                  <c:v>0.125</c:v>
                </c:pt>
                <c:pt idx="1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B-4C38-877B-AC8B94686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613888"/>
        <c:axId val="98619776"/>
      </c:barChart>
      <c:catAx>
        <c:axId val="98613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6197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619776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613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75813250625E-4"/>
          <c:y val="0"/>
          <c:w val="0.76583105996854928"/>
          <c:h val="0.999950535029275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GrafikaiSergVM!$W$28:$W$38</c:f>
              <c:strCache>
                <c:ptCount val="11"/>
                <c:pt idx="0">
                  <c:v>Kiti</c:v>
                </c:pt>
                <c:pt idx="1">
                  <c:v>Kaulų ir jungiamojo audinio</c:v>
                </c:pt>
                <c:pt idx="2">
                  <c:v>Gimdos kaklelio</c:v>
                </c:pt>
                <c:pt idx="3">
                  <c:v>Kiaušidžių</c:v>
                </c:pt>
                <c:pt idx="4">
                  <c:v>Smegenų</c:v>
                </c:pt>
                <c:pt idx="5">
                  <c:v>Sėklidžių</c:v>
                </c:pt>
                <c:pt idx="6">
                  <c:v>Ne Hodžkino limfomos</c:v>
                </c:pt>
                <c:pt idx="7">
                  <c:v>Leukemijos</c:v>
                </c:pt>
                <c:pt idx="8">
                  <c:v>Hodžkino limfomos</c:v>
                </c:pt>
                <c:pt idx="9">
                  <c:v>Kiti odos piktybiniai navikai</c:v>
                </c:pt>
                <c:pt idx="10">
                  <c:v>Skydliaukės</c:v>
                </c:pt>
              </c:strCache>
            </c:strRef>
          </c:cat>
          <c:val>
            <c:numRef>
              <c:f>GrafikaiSergVM!$Y$28:$Y$38</c:f>
              <c:numCache>
                <c:formatCode>0%</c:formatCode>
                <c:ptCount val="11"/>
                <c:pt idx="0">
                  <c:v>0.20348837209302326</c:v>
                </c:pt>
                <c:pt idx="1">
                  <c:v>5.232558139534884E-2</c:v>
                </c:pt>
                <c:pt idx="2">
                  <c:v>5.8139534883720929E-2</c:v>
                </c:pt>
                <c:pt idx="3">
                  <c:v>5.8139534883720929E-2</c:v>
                </c:pt>
                <c:pt idx="4">
                  <c:v>5.8139534883720929E-2</c:v>
                </c:pt>
                <c:pt idx="5">
                  <c:v>6.3953488372093026E-2</c:v>
                </c:pt>
                <c:pt idx="6">
                  <c:v>6.9767441860465115E-2</c:v>
                </c:pt>
                <c:pt idx="7">
                  <c:v>9.3023255813953487E-2</c:v>
                </c:pt>
                <c:pt idx="8">
                  <c:v>9.8837209302325577E-2</c:v>
                </c:pt>
                <c:pt idx="9">
                  <c:v>0.10465116279069768</c:v>
                </c:pt>
                <c:pt idx="10">
                  <c:v>0.13953488372093023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A-4EFF-87A2-D191D5AD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48145152"/>
        <c:axId val="48146688"/>
      </c:barChart>
      <c:catAx>
        <c:axId val="48145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466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814668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4814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GrafikaiMirt!$AA$41:$AA$51</c:f>
              <c:strCache>
                <c:ptCount val="11"/>
                <c:pt idx="0">
                  <c:v>Kiti</c:v>
                </c:pt>
                <c:pt idx="1">
                  <c:v>Gaubtinės žarnos</c:v>
                </c:pt>
                <c:pt idx="2">
                  <c:v>Kasos</c:v>
                </c:pt>
                <c:pt idx="3">
                  <c:v>Burnos ertmės ir ryklės</c:v>
                </c:pt>
                <c:pt idx="4">
                  <c:v>Tiesiosios žarnos, išangės</c:v>
                </c:pt>
                <c:pt idx="5">
                  <c:v>Smegenų</c:v>
                </c:pt>
                <c:pt idx="6">
                  <c:v>Plaučių, trachėjos, bronchų</c:v>
                </c:pt>
                <c:pt idx="7">
                  <c:v>Skrandžio</c:v>
                </c:pt>
                <c:pt idx="8">
                  <c:v>Kiaušidžių</c:v>
                </c:pt>
                <c:pt idx="9">
                  <c:v>Gimdos kaklelio</c:v>
                </c:pt>
                <c:pt idx="10">
                  <c:v>Krūties</c:v>
                </c:pt>
              </c:strCache>
            </c:strRef>
          </c:cat>
          <c:val>
            <c:numRef>
              <c:f>GrafikaiMirt!$AC$41:$AC$51</c:f>
              <c:numCache>
                <c:formatCode>0%</c:formatCode>
                <c:ptCount val="11"/>
                <c:pt idx="0">
                  <c:v>0.20046082949308755</c:v>
                </c:pt>
                <c:pt idx="1">
                  <c:v>3.2258064516129031E-2</c:v>
                </c:pt>
                <c:pt idx="2">
                  <c:v>3.2258064516129031E-2</c:v>
                </c:pt>
                <c:pt idx="3">
                  <c:v>3.4562211981566823E-2</c:v>
                </c:pt>
                <c:pt idx="4">
                  <c:v>3.4562211981566823E-2</c:v>
                </c:pt>
                <c:pt idx="5">
                  <c:v>4.1474654377880185E-2</c:v>
                </c:pt>
                <c:pt idx="6">
                  <c:v>4.6082949308755762E-2</c:v>
                </c:pt>
                <c:pt idx="7">
                  <c:v>8.294930875576037E-2</c:v>
                </c:pt>
                <c:pt idx="8">
                  <c:v>0.11290322580645161</c:v>
                </c:pt>
                <c:pt idx="9">
                  <c:v>0.15207373271889402</c:v>
                </c:pt>
                <c:pt idx="10">
                  <c:v>0.2304147465437788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2-4740-8E63-4DE830B55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328576"/>
        <c:axId val="98330112"/>
      </c:barChart>
      <c:catAx>
        <c:axId val="98328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3301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330112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32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3598392793493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GrafikaiMirt!$AA$54:$AA$64</c:f>
              <c:strCache>
                <c:ptCount val="11"/>
                <c:pt idx="0">
                  <c:v>Kiti</c:v>
                </c:pt>
                <c:pt idx="1">
                  <c:v>Smegenų</c:v>
                </c:pt>
                <c:pt idx="2">
                  <c:v>Tiesiosios žarnos, išangės</c:v>
                </c:pt>
                <c:pt idx="3">
                  <c:v>Gimdos kūno</c:v>
                </c:pt>
                <c:pt idx="4">
                  <c:v>Gimdos kaklelio</c:v>
                </c:pt>
                <c:pt idx="5">
                  <c:v>Kasos</c:v>
                </c:pt>
                <c:pt idx="6">
                  <c:v>Skrandžio</c:v>
                </c:pt>
                <c:pt idx="7">
                  <c:v>Gaubtinės žarnos</c:v>
                </c:pt>
                <c:pt idx="8">
                  <c:v>Plaučių, trachėjos, bronchų</c:v>
                </c:pt>
                <c:pt idx="9">
                  <c:v>Kiaušidžių</c:v>
                </c:pt>
                <c:pt idx="10">
                  <c:v>Krūties</c:v>
                </c:pt>
              </c:strCache>
            </c:strRef>
          </c:cat>
          <c:val>
            <c:numRef>
              <c:f>GrafikaiMirt!$AC$54:$AC$64</c:f>
              <c:numCache>
                <c:formatCode>0%</c:formatCode>
                <c:ptCount val="11"/>
                <c:pt idx="0">
                  <c:v>0.27855711422845691</c:v>
                </c:pt>
                <c:pt idx="1">
                  <c:v>4.2752171008684038E-2</c:v>
                </c:pt>
                <c:pt idx="2">
                  <c:v>4.876419505678023E-2</c:v>
                </c:pt>
                <c:pt idx="3">
                  <c:v>5.0100200400801605E-2</c:v>
                </c:pt>
                <c:pt idx="4">
                  <c:v>5.7448229792919171E-2</c:v>
                </c:pt>
                <c:pt idx="5">
                  <c:v>6.1456245824983297E-2</c:v>
                </c:pt>
                <c:pt idx="6">
                  <c:v>6.2792251169004679E-2</c:v>
                </c:pt>
                <c:pt idx="7">
                  <c:v>6.9472277889111561E-2</c:v>
                </c:pt>
                <c:pt idx="8">
                  <c:v>7.4148296593186377E-2</c:v>
                </c:pt>
                <c:pt idx="9">
                  <c:v>8.0160320641282562E-2</c:v>
                </c:pt>
                <c:pt idx="10">
                  <c:v>0.17434869739478959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8-45CF-9A23-32971181B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346112"/>
        <c:axId val="98347648"/>
      </c:barChart>
      <c:catAx>
        <c:axId val="98346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34764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34764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34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715012475292443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GrafikaiMirt!$AA$67:$AA$77</c:f>
              <c:strCache>
                <c:ptCount val="11"/>
                <c:pt idx="0">
                  <c:v>Kiti</c:v>
                </c:pt>
                <c:pt idx="1">
                  <c:v>Ne Hodžkino limfomos</c:v>
                </c:pt>
                <c:pt idx="2">
                  <c:v>Gimdos kūno</c:v>
                </c:pt>
                <c:pt idx="3">
                  <c:v>Tiesiosios žarnos, išangės</c:v>
                </c:pt>
                <c:pt idx="4">
                  <c:v>Kiaušidžių</c:v>
                </c:pt>
                <c:pt idx="5">
                  <c:v>Plaučių, trachėjos, bronchų</c:v>
                </c:pt>
                <c:pt idx="6">
                  <c:v>Nepatikslintos lokalizacijos</c:v>
                </c:pt>
                <c:pt idx="7">
                  <c:v>Kasos</c:v>
                </c:pt>
                <c:pt idx="8">
                  <c:v>Skrandžio</c:v>
                </c:pt>
                <c:pt idx="9">
                  <c:v>Gaubtinės žarnos</c:v>
                </c:pt>
                <c:pt idx="10">
                  <c:v>Krūties</c:v>
                </c:pt>
              </c:strCache>
            </c:strRef>
          </c:cat>
          <c:val>
            <c:numRef>
              <c:f>GrafikaiMirt!$AC$67:$AC$77</c:f>
              <c:numCache>
                <c:formatCode>0%</c:formatCode>
                <c:ptCount val="11"/>
                <c:pt idx="0">
                  <c:v>0.30091012514220705</c:v>
                </c:pt>
                <c:pt idx="1">
                  <c:v>3.5267349260523322E-2</c:v>
                </c:pt>
                <c:pt idx="2">
                  <c:v>4.0386803185437997E-2</c:v>
                </c:pt>
                <c:pt idx="3">
                  <c:v>5.6882821387940839E-2</c:v>
                </c:pt>
                <c:pt idx="4">
                  <c:v>6.1433447098976107E-2</c:v>
                </c:pt>
                <c:pt idx="5">
                  <c:v>6.5415244596131975E-2</c:v>
                </c:pt>
                <c:pt idx="6">
                  <c:v>7.0534698521046643E-2</c:v>
                </c:pt>
                <c:pt idx="7">
                  <c:v>7.7360637087599549E-2</c:v>
                </c:pt>
                <c:pt idx="8">
                  <c:v>7.8498293515358364E-2</c:v>
                </c:pt>
                <c:pt idx="9">
                  <c:v>9.4994311717861199E-2</c:v>
                </c:pt>
                <c:pt idx="10">
                  <c:v>0.11831626848691695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6-4044-A0FE-495599A23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384128"/>
        <c:axId val="98385920"/>
      </c:barChart>
      <c:catAx>
        <c:axId val="98384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38592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38592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38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29662032986623"/>
          <c:h val="0.998316172016959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GrafikaiMirt!$W$67:$W$77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Leukemijos</c:v>
                </c:pt>
                <c:pt idx="3">
                  <c:v>Nepatikslintos lokalizacijos</c:v>
                </c:pt>
                <c:pt idx="4">
                  <c:v>Kasos</c:v>
                </c:pt>
                <c:pt idx="5">
                  <c:v>Šlapimo pūslės</c:v>
                </c:pt>
                <c:pt idx="6">
                  <c:v>Tiesiosios žarnos, išangės</c:v>
                </c:pt>
                <c:pt idx="7">
                  <c:v>Gaubtinės žarnos</c:v>
                </c:pt>
                <c:pt idx="8">
                  <c:v>Skrandžio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GrafikaiMirt!$Y$67:$Y$77</c:f>
              <c:numCache>
                <c:formatCode>0%</c:formatCode>
                <c:ptCount val="11"/>
                <c:pt idx="0">
                  <c:v>0.15902495647127105</c:v>
                </c:pt>
                <c:pt idx="1">
                  <c:v>3.71445153801509E-2</c:v>
                </c:pt>
                <c:pt idx="2">
                  <c:v>3.772489843296576E-2</c:v>
                </c:pt>
                <c:pt idx="3">
                  <c:v>3.8885664538595474E-2</c:v>
                </c:pt>
                <c:pt idx="4">
                  <c:v>4.0626813697040048E-2</c:v>
                </c:pt>
                <c:pt idx="5">
                  <c:v>6.1520603598374926E-2</c:v>
                </c:pt>
                <c:pt idx="6">
                  <c:v>6.6163668020893796E-2</c:v>
                </c:pt>
                <c:pt idx="7">
                  <c:v>7.7190946024376095E-2</c:v>
                </c:pt>
                <c:pt idx="8">
                  <c:v>0.10098665118978525</c:v>
                </c:pt>
                <c:pt idx="9">
                  <c:v>0.1816598955310505</c:v>
                </c:pt>
                <c:pt idx="10">
                  <c:v>0.19907138711549624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7-4833-9D94-97B31A007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393472"/>
        <c:axId val="98419840"/>
      </c:barChart>
      <c:catAx>
        <c:axId val="98393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4198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41984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39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812578983182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GrafikaiMirt!$W$2:$W$12</c:f>
              <c:strCache>
                <c:ptCount val="11"/>
                <c:pt idx="0">
                  <c:v>Kiti</c:v>
                </c:pt>
                <c:pt idx="1">
                  <c:v>Šlapimo pūslės</c:v>
                </c:pt>
                <c:pt idx="2">
                  <c:v>Inkstų</c:v>
                </c:pt>
                <c:pt idx="3">
                  <c:v>Nepatikslintos lokalizacijos</c:v>
                </c:pt>
                <c:pt idx="4">
                  <c:v>Kasos</c:v>
                </c:pt>
                <c:pt idx="5">
                  <c:v>Burnos ertmės ir ryklės</c:v>
                </c:pt>
                <c:pt idx="6">
                  <c:v>Tiesiosios žarnos, išangės</c:v>
                </c:pt>
                <c:pt idx="7">
                  <c:v>Gaubtinės žarnos</c:v>
                </c:pt>
                <c:pt idx="8">
                  <c:v>Skrandžio</c:v>
                </c:pt>
                <c:pt idx="9">
                  <c:v>Priešinės liaukos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GrafikaiMirt!$Y$2:$Y$12</c:f>
              <c:numCache>
                <c:formatCode>0%</c:formatCode>
                <c:ptCount val="11"/>
                <c:pt idx="0">
                  <c:v>0.22626480086114101</c:v>
                </c:pt>
                <c:pt idx="1">
                  <c:v>3.896663078579117E-2</c:v>
                </c:pt>
                <c:pt idx="2">
                  <c:v>3.9397201291711516E-2</c:v>
                </c:pt>
                <c:pt idx="3">
                  <c:v>4.4564047362755654E-2</c:v>
                </c:pt>
                <c:pt idx="4">
                  <c:v>4.8654467168998926E-2</c:v>
                </c:pt>
                <c:pt idx="5">
                  <c:v>4.9730893433799786E-2</c:v>
                </c:pt>
                <c:pt idx="6">
                  <c:v>5.4251883745963403E-2</c:v>
                </c:pt>
                <c:pt idx="7">
                  <c:v>5.5328310010764263E-2</c:v>
                </c:pt>
                <c:pt idx="8">
                  <c:v>8.8912809472551133E-2</c:v>
                </c:pt>
                <c:pt idx="9">
                  <c:v>0.11711517761033369</c:v>
                </c:pt>
                <c:pt idx="10">
                  <c:v>0.23681377825618946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D-420F-90DD-E32112404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456320"/>
        <c:axId val="98457856"/>
      </c:barChart>
      <c:catAx>
        <c:axId val="98456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45785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457856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45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42712912419681E-4"/>
          <c:y val="0"/>
          <c:w val="0.76605197498460842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GrafikaiSergVM!$AA$2:$AA$12</c:f>
              <c:strCache>
                <c:ptCount val="11"/>
                <c:pt idx="0">
                  <c:v>Kiti</c:v>
                </c:pt>
                <c:pt idx="1">
                  <c:v>Burnos ertmės ir ryklės</c:v>
                </c:pt>
                <c:pt idx="2">
                  <c:v>Inkstų</c:v>
                </c:pt>
                <c:pt idx="3">
                  <c:v>Skrandžio</c:v>
                </c:pt>
                <c:pt idx="4">
                  <c:v>Gimdos kūno</c:v>
                </c:pt>
                <c:pt idx="5">
                  <c:v>Skydliaukės</c:v>
                </c:pt>
                <c:pt idx="6">
                  <c:v>Plaučių, trachėjos, bronchų</c:v>
                </c:pt>
                <c:pt idx="7">
                  <c:v>Gimdos kaklelio</c:v>
                </c:pt>
                <c:pt idx="8">
                  <c:v>Priešinės liaukos</c:v>
                </c:pt>
                <c:pt idx="9">
                  <c:v>Kiti odos piktybiniai navikai</c:v>
                </c:pt>
                <c:pt idx="10">
                  <c:v>Krūties</c:v>
                </c:pt>
              </c:strCache>
            </c:strRef>
          </c:cat>
          <c:val>
            <c:numRef>
              <c:f>GrafikaiSergVM!$AC$2:$AC$12</c:f>
              <c:numCache>
                <c:formatCode>0%</c:formatCode>
                <c:ptCount val="11"/>
                <c:pt idx="0">
                  <c:v>0.29358437935843795</c:v>
                </c:pt>
                <c:pt idx="1">
                  <c:v>3.4170153417015341E-2</c:v>
                </c:pt>
                <c:pt idx="2">
                  <c:v>3.6959553695955369E-2</c:v>
                </c:pt>
                <c:pt idx="3">
                  <c:v>3.7308228730822873E-2</c:v>
                </c:pt>
                <c:pt idx="4">
                  <c:v>4.7071129707112969E-2</c:v>
                </c:pt>
                <c:pt idx="5">
                  <c:v>5.3347280334728034E-2</c:v>
                </c:pt>
                <c:pt idx="6">
                  <c:v>5.3695955369595538E-2</c:v>
                </c:pt>
                <c:pt idx="7">
                  <c:v>5.9623430962343099E-2</c:v>
                </c:pt>
                <c:pt idx="8">
                  <c:v>9.7629009762900981E-2</c:v>
                </c:pt>
                <c:pt idx="9">
                  <c:v>9.9372384937238489E-2</c:v>
                </c:pt>
                <c:pt idx="10">
                  <c:v>0.18723849372384938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4-47A1-9147-9F841CC40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51788032"/>
        <c:axId val="51802112"/>
      </c:barChart>
      <c:catAx>
        <c:axId val="51788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518021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51802112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51788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18839360557497E-3"/>
          <c:y val="3.0351975233864291E-4"/>
          <c:w val="0.76795995983281173"/>
          <c:h val="0.998128407026044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GrafikaiSergVM!$AA$15:$AA$25</c:f>
              <c:strCache>
                <c:ptCount val="11"/>
                <c:pt idx="0">
                  <c:v>Kiti</c:v>
                </c:pt>
                <c:pt idx="1">
                  <c:v>Kasos</c:v>
                </c:pt>
                <c:pt idx="2">
                  <c:v>Tiesiosios žarnos, išangės</c:v>
                </c:pt>
                <c:pt idx="3">
                  <c:v>Gimdos kūno</c:v>
                </c:pt>
                <c:pt idx="4">
                  <c:v>Skrandžio</c:v>
                </c:pt>
                <c:pt idx="5">
                  <c:v>Inkstų</c:v>
                </c:pt>
                <c:pt idx="6">
                  <c:v>Gaubtinės žarnos</c:v>
                </c:pt>
                <c:pt idx="7">
                  <c:v>Krūties</c:v>
                </c:pt>
                <c:pt idx="8">
                  <c:v>Plaučių, trachėjos, bronchų</c:v>
                </c:pt>
                <c:pt idx="9">
                  <c:v>Kiti odos piktybiniai navikai</c:v>
                </c:pt>
                <c:pt idx="10">
                  <c:v>Priešinės liaukos</c:v>
                </c:pt>
              </c:strCache>
            </c:strRef>
          </c:cat>
          <c:val>
            <c:numRef>
              <c:f>GrafikaiSergVM!$AC$15:$AC$25</c:f>
              <c:numCache>
                <c:formatCode>0%</c:formatCode>
                <c:ptCount val="11"/>
                <c:pt idx="0">
                  <c:v>0.25763866709251571</c:v>
                </c:pt>
                <c:pt idx="1">
                  <c:v>2.7147876077930375E-2</c:v>
                </c:pt>
                <c:pt idx="2">
                  <c:v>3.5239007771744914E-2</c:v>
                </c:pt>
                <c:pt idx="3">
                  <c:v>3.577131906739061E-2</c:v>
                </c:pt>
                <c:pt idx="4">
                  <c:v>3.8752262323006492E-2</c:v>
                </c:pt>
                <c:pt idx="5">
                  <c:v>4.2904290429042903E-2</c:v>
                </c:pt>
                <c:pt idx="6">
                  <c:v>4.7801554348983283E-2</c:v>
                </c:pt>
                <c:pt idx="7">
                  <c:v>8.0911316938145433E-2</c:v>
                </c:pt>
                <c:pt idx="8">
                  <c:v>9.5390184179708293E-2</c:v>
                </c:pt>
                <c:pt idx="9">
                  <c:v>0.10550409879697648</c:v>
                </c:pt>
                <c:pt idx="10">
                  <c:v>0.23293942297455553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0-4513-9ED9-88A6873F4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51822592"/>
        <c:axId val="51824128"/>
      </c:barChart>
      <c:catAx>
        <c:axId val="51822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5182412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5182412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51822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GrafikaiSergVM!$AA$28:$AA$38</c:f>
              <c:strCache>
                <c:ptCount val="11"/>
                <c:pt idx="0">
                  <c:v>Kiti</c:v>
                </c:pt>
                <c:pt idx="1">
                  <c:v>Nepatikslintos lokalizacijos</c:v>
                </c:pt>
                <c:pt idx="2">
                  <c:v>Inkstų</c:v>
                </c:pt>
                <c:pt idx="3">
                  <c:v>Kasos</c:v>
                </c:pt>
                <c:pt idx="4">
                  <c:v>Tiesiosios žarnos, išangės</c:v>
                </c:pt>
                <c:pt idx="5">
                  <c:v>Skrandžio</c:v>
                </c:pt>
                <c:pt idx="6">
                  <c:v>Krūties</c:v>
                </c:pt>
                <c:pt idx="7">
                  <c:v>Gaubtinės žarnos</c:v>
                </c:pt>
                <c:pt idx="8">
                  <c:v>Plaučių, trachėjos, bronchų</c:v>
                </c:pt>
                <c:pt idx="9">
                  <c:v>Priešinės liaukos</c:v>
                </c:pt>
                <c:pt idx="10">
                  <c:v>Kiti odos piktybiniai navikai</c:v>
                </c:pt>
              </c:strCache>
            </c:strRef>
          </c:cat>
          <c:val>
            <c:numRef>
              <c:f>GrafikaiSergVM!$AC$28:$AC$38</c:f>
              <c:numCache>
                <c:formatCode>0%</c:formatCode>
                <c:ptCount val="11"/>
                <c:pt idx="0">
                  <c:v>0.27821572774466446</c:v>
                </c:pt>
                <c:pt idx="1">
                  <c:v>3.7492789848106133E-2</c:v>
                </c:pt>
                <c:pt idx="2">
                  <c:v>3.8454143433955007E-2</c:v>
                </c:pt>
                <c:pt idx="3">
                  <c:v>4.0953662757162085E-2</c:v>
                </c:pt>
                <c:pt idx="4">
                  <c:v>4.3645452797538932E-2</c:v>
                </c:pt>
                <c:pt idx="5">
                  <c:v>6.4026148817535086E-2</c:v>
                </c:pt>
                <c:pt idx="6">
                  <c:v>6.6333397423572388E-2</c:v>
                </c:pt>
                <c:pt idx="7">
                  <c:v>6.7487021726591045E-2</c:v>
                </c:pt>
                <c:pt idx="8">
                  <c:v>8.613728129205922E-2</c:v>
                </c:pt>
                <c:pt idx="9">
                  <c:v>9.5943087867717741E-2</c:v>
                </c:pt>
                <c:pt idx="10">
                  <c:v>0.18131128629109786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E-4B20-B75B-8A8CCCE14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8625152"/>
        <c:axId val="68626688"/>
      </c:barChart>
      <c:catAx>
        <c:axId val="68625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686266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862668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862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812578983182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EECE1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GrafikaiSergVM!$W$2:$W$12</c:f>
              <c:strCache>
                <c:ptCount val="11"/>
                <c:pt idx="0">
                  <c:v>Kiti</c:v>
                </c:pt>
                <c:pt idx="1">
                  <c:v>Kasos</c:v>
                </c:pt>
                <c:pt idx="2">
                  <c:v>Gimdos kūno</c:v>
                </c:pt>
                <c:pt idx="3">
                  <c:v>Tiesiosios žarnos, išangės</c:v>
                </c:pt>
                <c:pt idx="4">
                  <c:v>Inkstų</c:v>
                </c:pt>
                <c:pt idx="5">
                  <c:v>Skrandžio</c:v>
                </c:pt>
                <c:pt idx="6">
                  <c:v>Gaubtinės žarnos</c:v>
                </c:pt>
                <c:pt idx="7">
                  <c:v>Plaučių, trachėjos, bronchų</c:v>
                </c:pt>
                <c:pt idx="8">
                  <c:v>Krūties</c:v>
                </c:pt>
                <c:pt idx="9">
                  <c:v>Kiti odos piktybiniai navikai</c:v>
                </c:pt>
                <c:pt idx="10">
                  <c:v>Priešinės liaukos</c:v>
                </c:pt>
              </c:strCache>
            </c:strRef>
          </c:cat>
          <c:val>
            <c:numRef>
              <c:f>GrafikaiSergVM!$Y$2:$Y$12</c:f>
              <c:numCache>
                <c:formatCode>0%</c:formatCode>
                <c:ptCount val="11"/>
                <c:pt idx="0">
                  <c:v>0.29308786988931557</c:v>
                </c:pt>
                <c:pt idx="1">
                  <c:v>2.998644680370454E-2</c:v>
                </c:pt>
                <c:pt idx="2">
                  <c:v>3.473006550711543E-2</c:v>
                </c:pt>
                <c:pt idx="3">
                  <c:v>3.5068895414501922E-2</c:v>
                </c:pt>
                <c:pt idx="4">
                  <c:v>4.0603117235147958E-2</c:v>
                </c:pt>
                <c:pt idx="5">
                  <c:v>4.551615089225209E-2</c:v>
                </c:pt>
                <c:pt idx="6">
                  <c:v>4.9412694827196749E-2</c:v>
                </c:pt>
                <c:pt idx="7">
                  <c:v>8.4763948497854083E-2</c:v>
                </c:pt>
                <c:pt idx="8">
                  <c:v>9.295233792636097E-2</c:v>
                </c:pt>
                <c:pt idx="9">
                  <c:v>0.12632708380393043</c:v>
                </c:pt>
                <c:pt idx="10">
                  <c:v>0.16755138920262028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C-4055-8D0E-500F9A6FA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8679168"/>
        <c:axId val="68680704"/>
      </c:barChart>
      <c:catAx>
        <c:axId val="68679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6868070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8680704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86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60344771718350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GrafikaiSerg!$W$15:$W$25</c:f>
              <c:strCache>
                <c:ptCount val="11"/>
                <c:pt idx="0">
                  <c:v>Kiti</c:v>
                </c:pt>
                <c:pt idx="1">
                  <c:v>Kepenų</c:v>
                </c:pt>
                <c:pt idx="2">
                  <c:v>Kitų virškinimo sistemos organų</c:v>
                </c:pt>
                <c:pt idx="3">
                  <c:v>Plaučių, trachėjos, bronchų</c:v>
                </c:pt>
                <c:pt idx="4">
                  <c:v>Kitų kvėpavimo sistemos organų</c:v>
                </c:pt>
                <c:pt idx="5">
                  <c:v>Akių</c:v>
                </c:pt>
                <c:pt idx="6">
                  <c:v>Inkstų</c:v>
                </c:pt>
                <c:pt idx="7">
                  <c:v>Kaulų ir jungiamojo audinio</c:v>
                </c:pt>
                <c:pt idx="8">
                  <c:v>Ne Hodžkino limfomos</c:v>
                </c:pt>
                <c:pt idx="9">
                  <c:v>Smegenų</c:v>
                </c:pt>
                <c:pt idx="10">
                  <c:v>Leukemijos</c:v>
                </c:pt>
              </c:strCache>
            </c:strRef>
          </c:cat>
          <c:val>
            <c:numRef>
              <c:f>GrafikaiSerg!$Y$15:$Y$25</c:f>
              <c:numCache>
                <c:formatCode>0%</c:formatCode>
                <c:ptCount val="11"/>
                <c:pt idx="0">
                  <c:v>2.1739130434782608E-2</c:v>
                </c:pt>
                <c:pt idx="1">
                  <c:v>2.1739130434782608E-2</c:v>
                </c:pt>
                <c:pt idx="2">
                  <c:v>2.1739130434782608E-2</c:v>
                </c:pt>
                <c:pt idx="3">
                  <c:v>2.1739130434782608E-2</c:v>
                </c:pt>
                <c:pt idx="4">
                  <c:v>2.1739130434782608E-2</c:v>
                </c:pt>
                <c:pt idx="5">
                  <c:v>6.5217391304347824E-2</c:v>
                </c:pt>
                <c:pt idx="6">
                  <c:v>8.6956521739130432E-2</c:v>
                </c:pt>
                <c:pt idx="7">
                  <c:v>0.13043478260869565</c:v>
                </c:pt>
                <c:pt idx="8">
                  <c:v>0.13043478260869565</c:v>
                </c:pt>
                <c:pt idx="9">
                  <c:v>0.19565217391304349</c:v>
                </c:pt>
                <c:pt idx="10">
                  <c:v>0.28260869565217389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8-40CE-AC48-711B58495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9922176"/>
        <c:axId val="69940352"/>
      </c:barChart>
      <c:catAx>
        <c:axId val="69922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6994035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9940352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9922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12" Type="http://schemas.openxmlformats.org/officeDocument/2006/relationships/chart" Target="../charts/chart44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11" Type="http://schemas.openxmlformats.org/officeDocument/2006/relationships/chart" Target="../charts/chart43.xml"/><Relationship Id="rId5" Type="http://schemas.openxmlformats.org/officeDocument/2006/relationships/chart" Target="../charts/chart37.xml"/><Relationship Id="rId10" Type="http://schemas.openxmlformats.org/officeDocument/2006/relationships/chart" Target="../charts/chart42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52</xdr:row>
          <xdr:rowOff>38100</xdr:rowOff>
        </xdr:from>
        <xdr:to>
          <xdr:col>2</xdr:col>
          <xdr:colOff>133350</xdr:colOff>
          <xdr:row>55</xdr:row>
          <xdr:rowOff>152400</xdr:rowOff>
        </xdr:to>
        <xdr:sp macro="" textlink="">
          <xdr:nvSpPr>
            <xdr:cNvPr id="3083" name="Perskaiciuoti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142425</xdr:colOff>
      <xdr:row>24</xdr:row>
      <xdr:rowOff>19051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66675</xdr:colOff>
      <xdr:row>4</xdr:row>
      <xdr:rowOff>142876</xdr:rowOff>
    </xdr:from>
    <xdr:to>
      <xdr:col>18</xdr:col>
      <xdr:colOff>228600</xdr:colOff>
      <xdr:row>23</xdr:row>
      <xdr:rowOff>104776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29</xdr:row>
      <xdr:rowOff>0</xdr:rowOff>
    </xdr:from>
    <xdr:to>
      <xdr:col>8</xdr:col>
      <xdr:colOff>0</xdr:colOff>
      <xdr:row>40</xdr:row>
      <xdr:rowOff>0</xdr:rowOff>
    </xdr:to>
    <xdr:graphicFrame macro="">
      <xdr:nvGraphicFramePr>
        <xdr:cNvPr id="3" name="Top vyrai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6" name="Top visos moter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57149</xdr:colOff>
      <xdr:row>16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7" name="Top moterys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</xdr:colOff>
      <xdr:row>29</xdr:row>
      <xdr:rowOff>1</xdr:rowOff>
    </xdr:from>
    <xdr:to>
      <xdr:col>18</xdr:col>
      <xdr:colOff>0</xdr:colOff>
      <xdr:row>40</xdr:row>
      <xdr:rowOff>1</xdr:rowOff>
    </xdr:to>
    <xdr:graphicFrame macro="">
      <xdr:nvGraphicFramePr>
        <xdr:cNvPr id="8" name="Top moterys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5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3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29</xdr:row>
      <xdr:rowOff>0</xdr:rowOff>
    </xdr:from>
    <xdr:to>
      <xdr:col>8</xdr:col>
      <xdr:colOff>0</xdr:colOff>
      <xdr:row>40</xdr:row>
      <xdr:rowOff>0</xdr:rowOff>
    </xdr:to>
    <xdr:graphicFrame macro="">
      <xdr:nvGraphicFramePr>
        <xdr:cNvPr id="4" name="Top vyrai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57149</xdr:colOff>
      <xdr:row>43</xdr:row>
      <xdr:rowOff>0</xdr:rowOff>
    </xdr:from>
    <xdr:to>
      <xdr:col>8</xdr:col>
      <xdr:colOff>0</xdr:colOff>
      <xdr:row>54</xdr:row>
      <xdr:rowOff>0</xdr:rowOff>
    </xdr:to>
    <xdr:graphicFrame macro="">
      <xdr:nvGraphicFramePr>
        <xdr:cNvPr id="5" name="Top vyrai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6" name="Top vyrai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7" name="Top visos moter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57149</xdr:colOff>
      <xdr:row>16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8" name="Top moterys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</xdr:colOff>
      <xdr:row>29</xdr:row>
      <xdr:rowOff>1</xdr:rowOff>
    </xdr:from>
    <xdr:to>
      <xdr:col>18</xdr:col>
      <xdr:colOff>0</xdr:colOff>
      <xdr:row>40</xdr:row>
      <xdr:rowOff>1</xdr:rowOff>
    </xdr:to>
    <xdr:graphicFrame macro="">
      <xdr:nvGraphicFramePr>
        <xdr:cNvPr id="9" name="Top moterys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</xdr:colOff>
      <xdr:row>43</xdr:row>
      <xdr:rowOff>1</xdr:rowOff>
    </xdr:from>
    <xdr:to>
      <xdr:col>18</xdr:col>
      <xdr:colOff>0</xdr:colOff>
      <xdr:row>54</xdr:row>
      <xdr:rowOff>1</xdr:rowOff>
    </xdr:to>
    <xdr:graphicFrame macro="">
      <xdr:nvGraphicFramePr>
        <xdr:cNvPr id="10" name="Top moterys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</xdr:colOff>
      <xdr:row>56</xdr:row>
      <xdr:rowOff>0</xdr:rowOff>
    </xdr:from>
    <xdr:to>
      <xdr:col>17</xdr:col>
      <xdr:colOff>409575</xdr:colOff>
      <xdr:row>67</xdr:row>
      <xdr:rowOff>0</xdr:rowOff>
    </xdr:to>
    <xdr:graphicFrame macro="">
      <xdr:nvGraphicFramePr>
        <xdr:cNvPr id="11" name="Top moterys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</xdr:colOff>
      <xdr:row>69</xdr:row>
      <xdr:rowOff>0</xdr:rowOff>
    </xdr:from>
    <xdr:to>
      <xdr:col>18</xdr:col>
      <xdr:colOff>0</xdr:colOff>
      <xdr:row>80</xdr:row>
      <xdr:rowOff>0</xdr:rowOff>
    </xdr:to>
    <xdr:graphicFrame macro="">
      <xdr:nvGraphicFramePr>
        <xdr:cNvPr id="12" name="Top moterys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69</xdr:row>
      <xdr:rowOff>1</xdr:rowOff>
    </xdr:from>
    <xdr:to>
      <xdr:col>8</xdr:col>
      <xdr:colOff>0</xdr:colOff>
      <xdr:row>80</xdr:row>
      <xdr:rowOff>1</xdr:rowOff>
    </xdr:to>
    <xdr:graphicFrame macro="">
      <xdr:nvGraphicFramePr>
        <xdr:cNvPr id="13" name="Top vyrai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22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29</xdr:row>
      <xdr:rowOff>0</xdr:rowOff>
    </xdr:from>
    <xdr:to>
      <xdr:col>8</xdr:col>
      <xdr:colOff>0</xdr:colOff>
      <xdr:row>40</xdr:row>
      <xdr:rowOff>0</xdr:rowOff>
    </xdr:to>
    <xdr:graphicFrame macro="">
      <xdr:nvGraphicFramePr>
        <xdr:cNvPr id="3" name="Top vyrai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57149</xdr:colOff>
      <xdr:row>42</xdr:row>
      <xdr:rowOff>0</xdr:rowOff>
    </xdr:from>
    <xdr:to>
      <xdr:col>8</xdr:col>
      <xdr:colOff>0</xdr:colOff>
      <xdr:row>53</xdr:row>
      <xdr:rowOff>0</xdr:rowOff>
    </xdr:to>
    <xdr:graphicFrame macro="">
      <xdr:nvGraphicFramePr>
        <xdr:cNvPr id="4" name="Top vyrai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</xdr:colOff>
      <xdr:row>55</xdr:row>
      <xdr:rowOff>0</xdr:rowOff>
    </xdr:from>
    <xdr:to>
      <xdr:col>8</xdr:col>
      <xdr:colOff>0</xdr:colOff>
      <xdr:row>66</xdr:row>
      <xdr:rowOff>0</xdr:rowOff>
    </xdr:to>
    <xdr:graphicFrame macro="">
      <xdr:nvGraphicFramePr>
        <xdr:cNvPr id="5" name="Top vyrai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6" name="Top visos moter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57149</xdr:colOff>
      <xdr:row>16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7" name="Top moterys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</xdr:colOff>
      <xdr:row>29</xdr:row>
      <xdr:rowOff>1</xdr:rowOff>
    </xdr:from>
    <xdr:to>
      <xdr:col>18</xdr:col>
      <xdr:colOff>0</xdr:colOff>
      <xdr:row>40</xdr:row>
      <xdr:rowOff>1</xdr:rowOff>
    </xdr:to>
    <xdr:graphicFrame macro="">
      <xdr:nvGraphicFramePr>
        <xdr:cNvPr id="8" name="Top moterys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</xdr:colOff>
      <xdr:row>42</xdr:row>
      <xdr:rowOff>1</xdr:rowOff>
    </xdr:from>
    <xdr:to>
      <xdr:col>18</xdr:col>
      <xdr:colOff>0</xdr:colOff>
      <xdr:row>53</xdr:row>
      <xdr:rowOff>1</xdr:rowOff>
    </xdr:to>
    <xdr:graphicFrame macro="">
      <xdr:nvGraphicFramePr>
        <xdr:cNvPr id="9" name="Top moterys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</xdr:colOff>
      <xdr:row>55</xdr:row>
      <xdr:rowOff>0</xdr:rowOff>
    </xdr:from>
    <xdr:to>
      <xdr:col>18</xdr:col>
      <xdr:colOff>1</xdr:colOff>
      <xdr:row>66</xdr:row>
      <xdr:rowOff>0</xdr:rowOff>
    </xdr:to>
    <xdr:graphicFrame macro="">
      <xdr:nvGraphicFramePr>
        <xdr:cNvPr id="10" name="Top moterys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</xdr:colOff>
      <xdr:row>68</xdr:row>
      <xdr:rowOff>0</xdr:rowOff>
    </xdr:from>
    <xdr:to>
      <xdr:col>18</xdr:col>
      <xdr:colOff>0</xdr:colOff>
      <xdr:row>79</xdr:row>
      <xdr:rowOff>0</xdr:rowOff>
    </xdr:to>
    <xdr:graphicFrame macro="">
      <xdr:nvGraphicFramePr>
        <xdr:cNvPr id="11" name="Top moterys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68</xdr:row>
      <xdr:rowOff>1</xdr:rowOff>
    </xdr:from>
    <xdr:to>
      <xdr:col>8</xdr:col>
      <xdr:colOff>0</xdr:colOff>
      <xdr:row>79</xdr:row>
      <xdr:rowOff>1</xdr:rowOff>
    </xdr:to>
    <xdr:graphicFrame macro="">
      <xdr:nvGraphicFramePr>
        <xdr:cNvPr id="12" name="Top vyrai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3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29</xdr:row>
      <xdr:rowOff>0</xdr:rowOff>
    </xdr:from>
    <xdr:to>
      <xdr:col>8</xdr:col>
      <xdr:colOff>0</xdr:colOff>
      <xdr:row>40</xdr:row>
      <xdr:rowOff>0</xdr:rowOff>
    </xdr:to>
    <xdr:graphicFrame macro="">
      <xdr:nvGraphicFramePr>
        <xdr:cNvPr id="3" name="Top vyrai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57149</xdr:colOff>
      <xdr:row>42</xdr:row>
      <xdr:rowOff>0</xdr:rowOff>
    </xdr:from>
    <xdr:to>
      <xdr:col>8</xdr:col>
      <xdr:colOff>0</xdr:colOff>
      <xdr:row>53</xdr:row>
      <xdr:rowOff>0</xdr:rowOff>
    </xdr:to>
    <xdr:graphicFrame macro="">
      <xdr:nvGraphicFramePr>
        <xdr:cNvPr id="4" name="Top vyrai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</xdr:colOff>
      <xdr:row>55</xdr:row>
      <xdr:rowOff>0</xdr:rowOff>
    </xdr:from>
    <xdr:to>
      <xdr:col>8</xdr:col>
      <xdr:colOff>0</xdr:colOff>
      <xdr:row>66</xdr:row>
      <xdr:rowOff>0</xdr:rowOff>
    </xdr:to>
    <xdr:graphicFrame macro="">
      <xdr:nvGraphicFramePr>
        <xdr:cNvPr id="5" name="Top vyrai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6" name="Top visos moter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57149</xdr:colOff>
      <xdr:row>16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7" name="Top moterys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</xdr:colOff>
      <xdr:row>29</xdr:row>
      <xdr:rowOff>1</xdr:rowOff>
    </xdr:from>
    <xdr:to>
      <xdr:col>18</xdr:col>
      <xdr:colOff>0</xdr:colOff>
      <xdr:row>40</xdr:row>
      <xdr:rowOff>1</xdr:rowOff>
    </xdr:to>
    <xdr:graphicFrame macro="">
      <xdr:nvGraphicFramePr>
        <xdr:cNvPr id="8" name="Top moterys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</xdr:colOff>
      <xdr:row>42</xdr:row>
      <xdr:rowOff>1</xdr:rowOff>
    </xdr:from>
    <xdr:to>
      <xdr:col>18</xdr:col>
      <xdr:colOff>0</xdr:colOff>
      <xdr:row>53</xdr:row>
      <xdr:rowOff>1</xdr:rowOff>
    </xdr:to>
    <xdr:graphicFrame macro="">
      <xdr:nvGraphicFramePr>
        <xdr:cNvPr id="9" name="Top moterys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</xdr:colOff>
      <xdr:row>55</xdr:row>
      <xdr:rowOff>0</xdr:rowOff>
    </xdr:from>
    <xdr:to>
      <xdr:col>18</xdr:col>
      <xdr:colOff>1</xdr:colOff>
      <xdr:row>66</xdr:row>
      <xdr:rowOff>0</xdr:rowOff>
    </xdr:to>
    <xdr:graphicFrame macro="">
      <xdr:nvGraphicFramePr>
        <xdr:cNvPr id="10" name="Top moterys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</xdr:colOff>
      <xdr:row>68</xdr:row>
      <xdr:rowOff>0</xdr:rowOff>
    </xdr:from>
    <xdr:to>
      <xdr:col>18</xdr:col>
      <xdr:colOff>0</xdr:colOff>
      <xdr:row>79</xdr:row>
      <xdr:rowOff>0</xdr:rowOff>
    </xdr:to>
    <xdr:graphicFrame macro="">
      <xdr:nvGraphicFramePr>
        <xdr:cNvPr id="11" name="Top moterys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68</xdr:row>
      <xdr:rowOff>1</xdr:rowOff>
    </xdr:from>
    <xdr:to>
      <xdr:col>8</xdr:col>
      <xdr:colOff>0</xdr:colOff>
      <xdr:row>79</xdr:row>
      <xdr:rowOff>1</xdr:rowOff>
    </xdr:to>
    <xdr:graphicFrame macro="">
      <xdr:nvGraphicFramePr>
        <xdr:cNvPr id="12" name="Top vyrai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3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4" tint="0.39997558519241921"/>
  </sheetPr>
  <dimension ref="A1:EC71"/>
  <sheetViews>
    <sheetView workbookViewId="0">
      <pane xSplit="3" ySplit="2" topLeftCell="D21" activePane="bottomRight" state="frozen"/>
      <selection activeCell="DV55" sqref="DV55"/>
      <selection pane="topRight" activeCell="DV55" sqref="DV55"/>
      <selection pane="bottomLeft" activeCell="DV55" sqref="DV55"/>
      <selection pane="bottomRight" activeCell="EB4" sqref="EB4"/>
    </sheetView>
  </sheetViews>
  <sheetFormatPr defaultRowHeight="12.75"/>
  <cols>
    <col min="1" max="1" width="6.5703125" bestFit="1" customWidth="1"/>
    <col min="2" max="2" width="35.85546875" customWidth="1"/>
    <col min="3" max="3" width="43.28515625" customWidth="1"/>
    <col min="67" max="67" width="12.28515625" bestFit="1" customWidth="1"/>
    <col min="253" max="253" width="6.5703125" bestFit="1" customWidth="1"/>
    <col min="254" max="254" width="35.85546875" customWidth="1"/>
    <col min="255" max="255" width="54.5703125" customWidth="1"/>
    <col min="509" max="509" width="6.5703125" bestFit="1" customWidth="1"/>
    <col min="510" max="510" width="35.85546875" customWidth="1"/>
    <col min="511" max="511" width="54.5703125" customWidth="1"/>
    <col min="765" max="765" width="6.5703125" bestFit="1" customWidth="1"/>
    <col min="766" max="766" width="35.85546875" customWidth="1"/>
    <col min="767" max="767" width="54.5703125" customWidth="1"/>
    <col min="1021" max="1021" width="6.5703125" bestFit="1" customWidth="1"/>
    <col min="1022" max="1022" width="35.85546875" customWidth="1"/>
    <col min="1023" max="1023" width="54.5703125" customWidth="1"/>
    <col min="1277" max="1277" width="6.5703125" bestFit="1" customWidth="1"/>
    <col min="1278" max="1278" width="35.85546875" customWidth="1"/>
    <col min="1279" max="1279" width="54.5703125" customWidth="1"/>
    <col min="1533" max="1533" width="6.5703125" bestFit="1" customWidth="1"/>
    <col min="1534" max="1534" width="35.85546875" customWidth="1"/>
    <col min="1535" max="1535" width="54.5703125" customWidth="1"/>
    <col min="1789" max="1789" width="6.5703125" bestFit="1" customWidth="1"/>
    <col min="1790" max="1790" width="35.85546875" customWidth="1"/>
    <col min="1791" max="1791" width="54.5703125" customWidth="1"/>
    <col min="2045" max="2045" width="6.5703125" bestFit="1" customWidth="1"/>
    <col min="2046" max="2046" width="35.85546875" customWidth="1"/>
    <col min="2047" max="2047" width="54.5703125" customWidth="1"/>
    <col min="2301" max="2301" width="6.5703125" bestFit="1" customWidth="1"/>
    <col min="2302" max="2302" width="35.85546875" customWidth="1"/>
    <col min="2303" max="2303" width="54.5703125" customWidth="1"/>
    <col min="2557" max="2557" width="6.5703125" bestFit="1" customWidth="1"/>
    <col min="2558" max="2558" width="35.85546875" customWidth="1"/>
    <col min="2559" max="2559" width="54.5703125" customWidth="1"/>
    <col min="2813" max="2813" width="6.5703125" bestFit="1" customWidth="1"/>
    <col min="2814" max="2814" width="35.85546875" customWidth="1"/>
    <col min="2815" max="2815" width="54.5703125" customWidth="1"/>
    <col min="3069" max="3069" width="6.5703125" bestFit="1" customWidth="1"/>
    <col min="3070" max="3070" width="35.85546875" customWidth="1"/>
    <col min="3071" max="3071" width="54.5703125" customWidth="1"/>
    <col min="3325" max="3325" width="6.5703125" bestFit="1" customWidth="1"/>
    <col min="3326" max="3326" width="35.85546875" customWidth="1"/>
    <col min="3327" max="3327" width="54.5703125" customWidth="1"/>
    <col min="3581" max="3581" width="6.5703125" bestFit="1" customWidth="1"/>
    <col min="3582" max="3582" width="35.85546875" customWidth="1"/>
    <col min="3583" max="3583" width="54.5703125" customWidth="1"/>
    <col min="3837" max="3837" width="6.5703125" bestFit="1" customWidth="1"/>
    <col min="3838" max="3838" width="35.85546875" customWidth="1"/>
    <col min="3839" max="3839" width="54.5703125" customWidth="1"/>
    <col min="4093" max="4093" width="6.5703125" bestFit="1" customWidth="1"/>
    <col min="4094" max="4094" width="35.85546875" customWidth="1"/>
    <col min="4095" max="4095" width="54.5703125" customWidth="1"/>
    <col min="4349" max="4349" width="6.5703125" bestFit="1" customWidth="1"/>
    <col min="4350" max="4350" width="35.85546875" customWidth="1"/>
    <col min="4351" max="4351" width="54.5703125" customWidth="1"/>
    <col min="4605" max="4605" width="6.5703125" bestFit="1" customWidth="1"/>
    <col min="4606" max="4606" width="35.85546875" customWidth="1"/>
    <col min="4607" max="4607" width="54.5703125" customWidth="1"/>
    <col min="4861" max="4861" width="6.5703125" bestFit="1" customWidth="1"/>
    <col min="4862" max="4862" width="35.85546875" customWidth="1"/>
    <col min="4863" max="4863" width="54.5703125" customWidth="1"/>
    <col min="5117" max="5117" width="6.5703125" bestFit="1" customWidth="1"/>
    <col min="5118" max="5118" width="35.85546875" customWidth="1"/>
    <col min="5119" max="5119" width="54.5703125" customWidth="1"/>
    <col min="5373" max="5373" width="6.5703125" bestFit="1" customWidth="1"/>
    <col min="5374" max="5374" width="35.85546875" customWidth="1"/>
    <col min="5375" max="5375" width="54.5703125" customWidth="1"/>
    <col min="5629" max="5629" width="6.5703125" bestFit="1" customWidth="1"/>
    <col min="5630" max="5630" width="35.85546875" customWidth="1"/>
    <col min="5631" max="5631" width="54.5703125" customWidth="1"/>
    <col min="5885" max="5885" width="6.5703125" bestFit="1" customWidth="1"/>
    <col min="5886" max="5886" width="35.85546875" customWidth="1"/>
    <col min="5887" max="5887" width="54.5703125" customWidth="1"/>
    <col min="6141" max="6141" width="6.5703125" bestFit="1" customWidth="1"/>
    <col min="6142" max="6142" width="35.85546875" customWidth="1"/>
    <col min="6143" max="6143" width="54.5703125" customWidth="1"/>
    <col min="6397" max="6397" width="6.5703125" bestFit="1" customWidth="1"/>
    <col min="6398" max="6398" width="35.85546875" customWidth="1"/>
    <col min="6399" max="6399" width="54.5703125" customWidth="1"/>
    <col min="6653" max="6653" width="6.5703125" bestFit="1" customWidth="1"/>
    <col min="6654" max="6654" width="35.85546875" customWidth="1"/>
    <col min="6655" max="6655" width="54.5703125" customWidth="1"/>
    <col min="6909" max="6909" width="6.5703125" bestFit="1" customWidth="1"/>
    <col min="6910" max="6910" width="35.85546875" customWidth="1"/>
    <col min="6911" max="6911" width="54.5703125" customWidth="1"/>
    <col min="7165" max="7165" width="6.5703125" bestFit="1" customWidth="1"/>
    <col min="7166" max="7166" width="35.85546875" customWidth="1"/>
    <col min="7167" max="7167" width="54.5703125" customWidth="1"/>
    <col min="7421" max="7421" width="6.5703125" bestFit="1" customWidth="1"/>
    <col min="7422" max="7422" width="35.85546875" customWidth="1"/>
    <col min="7423" max="7423" width="54.5703125" customWidth="1"/>
    <col min="7677" max="7677" width="6.5703125" bestFit="1" customWidth="1"/>
    <col min="7678" max="7678" width="35.85546875" customWidth="1"/>
    <col min="7679" max="7679" width="54.5703125" customWidth="1"/>
    <col min="7933" max="7933" width="6.5703125" bestFit="1" customWidth="1"/>
    <col min="7934" max="7934" width="35.85546875" customWidth="1"/>
    <col min="7935" max="7935" width="54.5703125" customWidth="1"/>
    <col min="8189" max="8189" width="6.5703125" bestFit="1" customWidth="1"/>
    <col min="8190" max="8190" width="35.85546875" customWidth="1"/>
    <col min="8191" max="8191" width="54.5703125" customWidth="1"/>
    <col min="8445" max="8445" width="6.5703125" bestFit="1" customWidth="1"/>
    <col min="8446" max="8446" width="35.85546875" customWidth="1"/>
    <col min="8447" max="8447" width="54.5703125" customWidth="1"/>
    <col min="8701" max="8701" width="6.5703125" bestFit="1" customWidth="1"/>
    <col min="8702" max="8702" width="35.85546875" customWidth="1"/>
    <col min="8703" max="8703" width="54.5703125" customWidth="1"/>
    <col min="8957" max="8957" width="6.5703125" bestFit="1" customWidth="1"/>
    <col min="8958" max="8958" width="35.85546875" customWidth="1"/>
    <col min="8959" max="8959" width="54.5703125" customWidth="1"/>
    <col min="9213" max="9213" width="6.5703125" bestFit="1" customWidth="1"/>
    <col min="9214" max="9214" width="35.85546875" customWidth="1"/>
    <col min="9215" max="9215" width="54.5703125" customWidth="1"/>
    <col min="9469" max="9469" width="6.5703125" bestFit="1" customWidth="1"/>
    <col min="9470" max="9470" width="35.85546875" customWidth="1"/>
    <col min="9471" max="9471" width="54.5703125" customWidth="1"/>
    <col min="9725" max="9725" width="6.5703125" bestFit="1" customWidth="1"/>
    <col min="9726" max="9726" width="35.85546875" customWidth="1"/>
    <col min="9727" max="9727" width="54.5703125" customWidth="1"/>
    <col min="9981" max="9981" width="6.5703125" bestFit="1" customWidth="1"/>
    <col min="9982" max="9982" width="35.85546875" customWidth="1"/>
    <col min="9983" max="9983" width="54.5703125" customWidth="1"/>
    <col min="10237" max="10237" width="6.5703125" bestFit="1" customWidth="1"/>
    <col min="10238" max="10238" width="35.85546875" customWidth="1"/>
    <col min="10239" max="10239" width="54.5703125" customWidth="1"/>
    <col min="10493" max="10493" width="6.5703125" bestFit="1" customWidth="1"/>
    <col min="10494" max="10494" width="35.85546875" customWidth="1"/>
    <col min="10495" max="10495" width="54.5703125" customWidth="1"/>
    <col min="10749" max="10749" width="6.5703125" bestFit="1" customWidth="1"/>
    <col min="10750" max="10750" width="35.85546875" customWidth="1"/>
    <col min="10751" max="10751" width="54.5703125" customWidth="1"/>
    <col min="11005" max="11005" width="6.5703125" bestFit="1" customWidth="1"/>
    <col min="11006" max="11006" width="35.85546875" customWidth="1"/>
    <col min="11007" max="11007" width="54.5703125" customWidth="1"/>
    <col min="11261" max="11261" width="6.5703125" bestFit="1" customWidth="1"/>
    <col min="11262" max="11262" width="35.85546875" customWidth="1"/>
    <col min="11263" max="11263" width="54.5703125" customWidth="1"/>
    <col min="11517" max="11517" width="6.5703125" bestFit="1" customWidth="1"/>
    <col min="11518" max="11518" width="35.85546875" customWidth="1"/>
    <col min="11519" max="11519" width="54.5703125" customWidth="1"/>
    <col min="11773" max="11773" width="6.5703125" bestFit="1" customWidth="1"/>
    <col min="11774" max="11774" width="35.85546875" customWidth="1"/>
    <col min="11775" max="11775" width="54.5703125" customWidth="1"/>
    <col min="12029" max="12029" width="6.5703125" bestFit="1" customWidth="1"/>
    <col min="12030" max="12030" width="35.85546875" customWidth="1"/>
    <col min="12031" max="12031" width="54.5703125" customWidth="1"/>
    <col min="12285" max="12285" width="6.5703125" bestFit="1" customWidth="1"/>
    <col min="12286" max="12286" width="35.85546875" customWidth="1"/>
    <col min="12287" max="12287" width="54.5703125" customWidth="1"/>
    <col min="12541" max="12541" width="6.5703125" bestFit="1" customWidth="1"/>
    <col min="12542" max="12542" width="35.85546875" customWidth="1"/>
    <col min="12543" max="12543" width="54.5703125" customWidth="1"/>
    <col min="12797" max="12797" width="6.5703125" bestFit="1" customWidth="1"/>
    <col min="12798" max="12798" width="35.85546875" customWidth="1"/>
    <col min="12799" max="12799" width="54.5703125" customWidth="1"/>
    <col min="13053" max="13053" width="6.5703125" bestFit="1" customWidth="1"/>
    <col min="13054" max="13054" width="35.85546875" customWidth="1"/>
    <col min="13055" max="13055" width="54.5703125" customWidth="1"/>
    <col min="13309" max="13309" width="6.5703125" bestFit="1" customWidth="1"/>
    <col min="13310" max="13310" width="35.85546875" customWidth="1"/>
    <col min="13311" max="13311" width="54.5703125" customWidth="1"/>
    <col min="13565" max="13565" width="6.5703125" bestFit="1" customWidth="1"/>
    <col min="13566" max="13566" width="35.85546875" customWidth="1"/>
    <col min="13567" max="13567" width="54.5703125" customWidth="1"/>
    <col min="13821" max="13821" width="6.5703125" bestFit="1" customWidth="1"/>
    <col min="13822" max="13822" width="35.85546875" customWidth="1"/>
    <col min="13823" max="13823" width="54.5703125" customWidth="1"/>
    <col min="14077" max="14077" width="6.5703125" bestFit="1" customWidth="1"/>
    <col min="14078" max="14078" width="35.85546875" customWidth="1"/>
    <col min="14079" max="14079" width="54.5703125" customWidth="1"/>
    <col min="14333" max="14333" width="6.5703125" bestFit="1" customWidth="1"/>
    <col min="14334" max="14334" width="35.85546875" customWidth="1"/>
    <col min="14335" max="14335" width="54.5703125" customWidth="1"/>
    <col min="14589" max="14589" width="6.5703125" bestFit="1" customWidth="1"/>
    <col min="14590" max="14590" width="35.85546875" customWidth="1"/>
    <col min="14591" max="14591" width="54.5703125" customWidth="1"/>
    <col min="14845" max="14845" width="6.5703125" bestFit="1" customWidth="1"/>
    <col min="14846" max="14846" width="35.85546875" customWidth="1"/>
    <col min="14847" max="14847" width="54.5703125" customWidth="1"/>
    <col min="15101" max="15101" width="6.5703125" bestFit="1" customWidth="1"/>
    <col min="15102" max="15102" width="35.85546875" customWidth="1"/>
    <col min="15103" max="15103" width="54.5703125" customWidth="1"/>
    <col min="15357" max="15357" width="6.5703125" bestFit="1" customWidth="1"/>
    <col min="15358" max="15358" width="35.85546875" customWidth="1"/>
    <col min="15359" max="15359" width="54.5703125" customWidth="1"/>
    <col min="15613" max="15613" width="6.5703125" bestFit="1" customWidth="1"/>
    <col min="15614" max="15614" width="35.85546875" customWidth="1"/>
    <col min="15615" max="15615" width="54.5703125" customWidth="1"/>
    <col min="15869" max="15869" width="6.5703125" bestFit="1" customWidth="1"/>
    <col min="15870" max="15870" width="35.85546875" customWidth="1"/>
    <col min="15871" max="15871" width="54.5703125" customWidth="1"/>
    <col min="16125" max="16125" width="6.5703125" bestFit="1" customWidth="1"/>
    <col min="16126" max="16126" width="35.85546875" customWidth="1"/>
    <col min="16127" max="16127" width="54.5703125" customWidth="1"/>
  </cols>
  <sheetData>
    <row r="1" spans="1:133">
      <c r="A1" s="483">
        <v>2009</v>
      </c>
      <c r="B1" s="483"/>
      <c r="C1" s="483"/>
      <c r="D1" s="484" t="s">
        <v>3</v>
      </c>
      <c r="E1" s="485"/>
      <c r="F1" s="484" t="s">
        <v>125</v>
      </c>
      <c r="G1" s="486"/>
      <c r="H1" s="486"/>
      <c r="I1" s="486"/>
      <c r="J1" s="486"/>
      <c r="K1" s="485"/>
      <c r="L1" s="484" t="s">
        <v>126</v>
      </c>
      <c r="M1" s="486"/>
      <c r="N1" s="486"/>
      <c r="O1" s="486"/>
      <c r="P1" s="485"/>
      <c r="Q1" s="484" t="s">
        <v>202</v>
      </c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5"/>
      <c r="AI1" s="484" t="s">
        <v>203</v>
      </c>
      <c r="AJ1" s="486"/>
      <c r="AK1" s="486"/>
      <c r="AL1" s="486"/>
      <c r="AM1" s="486"/>
      <c r="AN1" s="484" t="s">
        <v>127</v>
      </c>
      <c r="AO1" s="486"/>
      <c r="AP1" s="486"/>
      <c r="AQ1" s="486"/>
      <c r="AR1" s="486"/>
      <c r="AS1" s="486"/>
      <c r="AT1" s="486"/>
      <c r="AU1" s="486"/>
      <c r="AV1" s="486"/>
      <c r="AW1" s="486"/>
      <c r="AX1" s="486"/>
      <c r="AY1" s="486"/>
      <c r="AZ1" s="486"/>
      <c r="BA1" s="486"/>
      <c r="BB1" s="486"/>
      <c r="BC1" s="486"/>
      <c r="BD1" s="486"/>
      <c r="BE1" s="485"/>
      <c r="BF1" s="487" t="s">
        <v>423</v>
      </c>
      <c r="BG1" s="488"/>
      <c r="BH1" s="488"/>
      <c r="BI1" s="488"/>
      <c r="BJ1" s="489"/>
      <c r="BK1" s="493" t="s">
        <v>128</v>
      </c>
      <c r="BL1" s="493"/>
      <c r="BM1" s="493"/>
      <c r="BN1" s="493"/>
      <c r="BO1" s="493" t="s">
        <v>31</v>
      </c>
      <c r="BP1" s="493"/>
      <c r="BQ1" s="492" t="s">
        <v>124</v>
      </c>
      <c r="BR1" s="492"/>
      <c r="BS1" s="490" t="s">
        <v>129</v>
      </c>
      <c r="BT1" s="491"/>
      <c r="BU1" s="491"/>
      <c r="BV1" s="491"/>
      <c r="BW1" s="491"/>
      <c r="BX1" s="494"/>
      <c r="BY1" s="490" t="s">
        <v>130</v>
      </c>
      <c r="BZ1" s="491"/>
      <c r="CA1" s="491"/>
      <c r="CB1" s="491"/>
      <c r="CC1" s="494"/>
      <c r="CD1" s="490" t="s">
        <v>131</v>
      </c>
      <c r="CE1" s="491"/>
      <c r="CF1" s="491"/>
      <c r="CG1" s="491"/>
      <c r="CH1" s="491"/>
      <c r="CI1" s="491"/>
      <c r="CJ1" s="491"/>
      <c r="CK1" s="491"/>
      <c r="CL1" s="491"/>
      <c r="CM1" s="491"/>
      <c r="CN1" s="491"/>
      <c r="CO1" s="491"/>
      <c r="CP1" s="491"/>
      <c r="CQ1" s="491"/>
      <c r="CR1" s="491"/>
      <c r="CS1" s="491"/>
      <c r="CT1" s="491"/>
      <c r="CU1" s="494"/>
      <c r="CV1" s="490" t="s">
        <v>204</v>
      </c>
      <c r="CW1" s="491"/>
      <c r="CX1" s="491"/>
      <c r="CY1" s="491"/>
      <c r="CZ1" s="491"/>
      <c r="DA1" s="490" t="s">
        <v>132</v>
      </c>
      <c r="DB1" s="491"/>
      <c r="DC1" s="491"/>
      <c r="DD1" s="491"/>
      <c r="DE1" s="491"/>
      <c r="DF1" s="491"/>
      <c r="DG1" s="491"/>
      <c r="DH1" s="491"/>
      <c r="DI1" s="491"/>
      <c r="DJ1" s="491"/>
      <c r="DK1" s="491"/>
      <c r="DL1" s="491"/>
      <c r="DM1" s="491"/>
      <c r="DN1" s="491"/>
      <c r="DO1" s="491"/>
      <c r="DP1" s="491"/>
      <c r="DQ1" s="491"/>
      <c r="DR1" s="494"/>
      <c r="DS1" s="490" t="s">
        <v>424</v>
      </c>
      <c r="DT1" s="491"/>
      <c r="DU1" s="491"/>
      <c r="DV1" s="491"/>
      <c r="DW1" s="491"/>
      <c r="DX1" s="492" t="s">
        <v>133</v>
      </c>
      <c r="DY1" s="492"/>
      <c r="DZ1" s="492"/>
      <c r="EA1" s="492"/>
      <c r="EB1" s="492" t="s">
        <v>123</v>
      </c>
      <c r="EC1" s="492"/>
    </row>
    <row r="2" spans="1:133" s="34" customFormat="1">
      <c r="A2" s="6" t="s">
        <v>0</v>
      </c>
      <c r="B2" s="6" t="s">
        <v>1</v>
      </c>
      <c r="C2" s="6" t="s">
        <v>2</v>
      </c>
      <c r="D2" s="1" t="s">
        <v>4</v>
      </c>
      <c r="E2" s="1" t="s">
        <v>5</v>
      </c>
      <c r="F2" s="7">
        <v>0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 t="s">
        <v>24</v>
      </c>
      <c r="M2" s="8" t="s">
        <v>25</v>
      </c>
      <c r="N2" s="8" t="s">
        <v>26</v>
      </c>
      <c r="O2" s="8" t="s">
        <v>5</v>
      </c>
      <c r="P2" s="8" t="s">
        <v>163</v>
      </c>
      <c r="Q2" s="9" t="s">
        <v>13</v>
      </c>
      <c r="R2" s="10" t="s">
        <v>11</v>
      </c>
      <c r="S2" s="10" t="s">
        <v>12</v>
      </c>
      <c r="T2" s="9" t="s">
        <v>14</v>
      </c>
      <c r="U2" s="9" t="s">
        <v>15</v>
      </c>
      <c r="V2" s="9" t="s">
        <v>16</v>
      </c>
      <c r="W2" s="9" t="s">
        <v>158</v>
      </c>
      <c r="X2" s="9" t="s">
        <v>17</v>
      </c>
      <c r="Y2" s="9" t="s">
        <v>18</v>
      </c>
      <c r="Z2" s="9" t="s">
        <v>19</v>
      </c>
      <c r="AA2" s="9" t="s">
        <v>20</v>
      </c>
      <c r="AB2" s="9" t="s">
        <v>21</v>
      </c>
      <c r="AC2" s="9" t="s">
        <v>159</v>
      </c>
      <c r="AD2" s="9" t="s">
        <v>160</v>
      </c>
      <c r="AE2" s="9" t="s">
        <v>161</v>
      </c>
      <c r="AF2" s="9" t="s">
        <v>162</v>
      </c>
      <c r="AG2" s="9" t="s">
        <v>22</v>
      </c>
      <c r="AH2" s="9" t="s">
        <v>23</v>
      </c>
      <c r="AI2" s="20" t="s">
        <v>205</v>
      </c>
      <c r="AJ2" s="20" t="s">
        <v>206</v>
      </c>
      <c r="AK2" s="20" t="s">
        <v>207</v>
      </c>
      <c r="AL2" s="20" t="s">
        <v>208</v>
      </c>
      <c r="AM2" s="20" t="s">
        <v>209</v>
      </c>
      <c r="AN2" s="9" t="s">
        <v>13</v>
      </c>
      <c r="AO2" s="10" t="s">
        <v>11</v>
      </c>
      <c r="AP2" s="10" t="s">
        <v>12</v>
      </c>
      <c r="AQ2" s="9" t="s">
        <v>14</v>
      </c>
      <c r="AR2" s="9" t="s">
        <v>15</v>
      </c>
      <c r="AS2" s="9" t="s">
        <v>16</v>
      </c>
      <c r="AT2" s="9" t="s">
        <v>158</v>
      </c>
      <c r="AU2" s="9" t="s">
        <v>17</v>
      </c>
      <c r="AV2" s="9" t="s">
        <v>18</v>
      </c>
      <c r="AW2" s="9" t="s">
        <v>19</v>
      </c>
      <c r="AX2" s="9" t="s">
        <v>20</v>
      </c>
      <c r="AY2" s="9" t="s">
        <v>21</v>
      </c>
      <c r="AZ2" s="9" t="s">
        <v>159</v>
      </c>
      <c r="BA2" s="9" t="s">
        <v>160</v>
      </c>
      <c r="BB2" s="9" t="s">
        <v>161</v>
      </c>
      <c r="BC2" s="9" t="s">
        <v>162</v>
      </c>
      <c r="BD2" s="9" t="s">
        <v>22</v>
      </c>
      <c r="BE2" s="9" t="s">
        <v>23</v>
      </c>
      <c r="BF2" s="91" t="s">
        <v>205</v>
      </c>
      <c r="BG2" s="91" t="s">
        <v>206</v>
      </c>
      <c r="BH2" s="91" t="s">
        <v>207</v>
      </c>
      <c r="BI2" s="91" t="s">
        <v>208</v>
      </c>
      <c r="BJ2" s="91" t="s">
        <v>209</v>
      </c>
      <c r="BK2" s="8" t="s">
        <v>28</v>
      </c>
      <c r="BL2" s="8" t="s">
        <v>29</v>
      </c>
      <c r="BM2" s="8" t="s">
        <v>27</v>
      </c>
      <c r="BN2" s="8" t="s">
        <v>30</v>
      </c>
      <c r="BO2" s="8" t="s">
        <v>33</v>
      </c>
      <c r="BP2" s="8" t="s">
        <v>32</v>
      </c>
      <c r="BQ2" s="11" t="s">
        <v>4</v>
      </c>
      <c r="BR2" s="11" t="s">
        <v>5</v>
      </c>
      <c r="BS2" s="7">
        <v>0</v>
      </c>
      <c r="BT2" s="7" t="s">
        <v>6</v>
      </c>
      <c r="BU2" s="7" t="s">
        <v>7</v>
      </c>
      <c r="BV2" s="7" t="s">
        <v>8</v>
      </c>
      <c r="BW2" s="7" t="s">
        <v>9</v>
      </c>
      <c r="BX2" s="7" t="s">
        <v>10</v>
      </c>
      <c r="BY2" s="8" t="s">
        <v>24</v>
      </c>
      <c r="BZ2" s="8" t="s">
        <v>25</v>
      </c>
      <c r="CA2" s="8" t="s">
        <v>26</v>
      </c>
      <c r="CB2" s="8" t="s">
        <v>5</v>
      </c>
      <c r="CC2" s="8" t="s">
        <v>163</v>
      </c>
      <c r="CD2" s="9" t="s">
        <v>13</v>
      </c>
      <c r="CE2" s="10" t="s">
        <v>11</v>
      </c>
      <c r="CF2" s="10" t="s">
        <v>12</v>
      </c>
      <c r="CG2" s="9" t="s">
        <v>14</v>
      </c>
      <c r="CH2" s="9" t="s">
        <v>15</v>
      </c>
      <c r="CI2" s="9" t="s">
        <v>16</v>
      </c>
      <c r="CJ2" s="9" t="s">
        <v>158</v>
      </c>
      <c r="CK2" s="9" t="s">
        <v>17</v>
      </c>
      <c r="CL2" s="9" t="s">
        <v>18</v>
      </c>
      <c r="CM2" s="9" t="s">
        <v>19</v>
      </c>
      <c r="CN2" s="9" t="s">
        <v>20</v>
      </c>
      <c r="CO2" s="9" t="s">
        <v>21</v>
      </c>
      <c r="CP2" s="9" t="s">
        <v>159</v>
      </c>
      <c r="CQ2" s="9" t="s">
        <v>160</v>
      </c>
      <c r="CR2" s="9" t="s">
        <v>161</v>
      </c>
      <c r="CS2" s="9" t="s">
        <v>162</v>
      </c>
      <c r="CT2" s="9" t="s">
        <v>22</v>
      </c>
      <c r="CU2" s="9" t="s">
        <v>23</v>
      </c>
      <c r="CV2" s="21" t="s">
        <v>205</v>
      </c>
      <c r="CW2" s="21" t="s">
        <v>206</v>
      </c>
      <c r="CX2" s="21" t="s">
        <v>207</v>
      </c>
      <c r="CY2" s="21" t="s">
        <v>208</v>
      </c>
      <c r="CZ2" s="21" t="s">
        <v>209</v>
      </c>
      <c r="DA2" s="9" t="s">
        <v>13</v>
      </c>
      <c r="DB2" s="10" t="s">
        <v>11</v>
      </c>
      <c r="DC2" s="10" t="s">
        <v>12</v>
      </c>
      <c r="DD2" s="9" t="s">
        <v>14</v>
      </c>
      <c r="DE2" s="9" t="s">
        <v>15</v>
      </c>
      <c r="DF2" s="9" t="s">
        <v>16</v>
      </c>
      <c r="DG2" s="9" t="s">
        <v>158</v>
      </c>
      <c r="DH2" s="9" t="s">
        <v>17</v>
      </c>
      <c r="DI2" s="9" t="s">
        <v>18</v>
      </c>
      <c r="DJ2" s="9" t="s">
        <v>19</v>
      </c>
      <c r="DK2" s="9" t="s">
        <v>20</v>
      </c>
      <c r="DL2" s="9" t="s">
        <v>21</v>
      </c>
      <c r="DM2" s="9" t="s">
        <v>159</v>
      </c>
      <c r="DN2" s="9" t="s">
        <v>160</v>
      </c>
      <c r="DO2" s="9" t="s">
        <v>161</v>
      </c>
      <c r="DP2" s="9" t="s">
        <v>162</v>
      </c>
      <c r="DQ2" s="9" t="s">
        <v>22</v>
      </c>
      <c r="DR2" s="9" t="s">
        <v>23</v>
      </c>
      <c r="DS2" s="21" t="s">
        <v>205</v>
      </c>
      <c r="DT2" s="21" t="s">
        <v>206</v>
      </c>
      <c r="DU2" s="21" t="s">
        <v>207</v>
      </c>
      <c r="DV2" s="21" t="s">
        <v>208</v>
      </c>
      <c r="DW2" s="21" t="s">
        <v>209</v>
      </c>
      <c r="DX2" s="8" t="s">
        <v>28</v>
      </c>
      <c r="DY2" s="8" t="s">
        <v>29</v>
      </c>
      <c r="DZ2" s="8" t="s">
        <v>27</v>
      </c>
      <c r="EA2" s="8" t="s">
        <v>30</v>
      </c>
      <c r="EB2" s="8" t="s">
        <v>33</v>
      </c>
      <c r="EC2" s="8" t="s">
        <v>32</v>
      </c>
    </row>
    <row r="3" spans="1:133" s="17" customFormat="1">
      <c r="A3" s="14"/>
      <c r="B3" s="14"/>
      <c r="C3" s="18"/>
      <c r="D3" s="15"/>
      <c r="E3" s="15"/>
      <c r="F3" s="222" t="s">
        <v>134</v>
      </c>
      <c r="G3" s="222" t="s">
        <v>135</v>
      </c>
      <c r="H3" s="222" t="s">
        <v>136</v>
      </c>
      <c r="I3" s="222" t="s">
        <v>137</v>
      </c>
      <c r="J3" s="222" t="s">
        <v>138</v>
      </c>
      <c r="K3" s="222" t="s">
        <v>139</v>
      </c>
      <c r="L3" s="222" t="s">
        <v>164</v>
      </c>
      <c r="M3" s="222" t="s">
        <v>165</v>
      </c>
      <c r="N3" s="222" t="s">
        <v>166</v>
      </c>
      <c r="O3" s="222" t="s">
        <v>167</v>
      </c>
      <c r="P3" s="222" t="s">
        <v>168</v>
      </c>
      <c r="Q3" s="223" t="s">
        <v>140</v>
      </c>
      <c r="R3" s="223" t="s">
        <v>141</v>
      </c>
      <c r="S3" s="223" t="s">
        <v>142</v>
      </c>
      <c r="T3" s="223" t="s">
        <v>143</v>
      </c>
      <c r="U3" s="223" t="s">
        <v>144</v>
      </c>
      <c r="V3" s="223" t="s">
        <v>145</v>
      </c>
      <c r="W3" s="223" t="s">
        <v>146</v>
      </c>
      <c r="X3" s="223" t="s">
        <v>147</v>
      </c>
      <c r="Y3" s="223" t="s">
        <v>148</v>
      </c>
      <c r="Z3" s="223" t="s">
        <v>149</v>
      </c>
      <c r="AA3" s="223" t="s">
        <v>150</v>
      </c>
      <c r="AB3" s="223" t="s">
        <v>151</v>
      </c>
      <c r="AC3" s="223" t="s">
        <v>152</v>
      </c>
      <c r="AD3" s="223" t="s">
        <v>153</v>
      </c>
      <c r="AE3" s="223" t="s">
        <v>154</v>
      </c>
      <c r="AF3" s="223" t="s">
        <v>155</v>
      </c>
      <c r="AG3" s="223" t="s">
        <v>156</v>
      </c>
      <c r="AH3" s="223" t="s">
        <v>157</v>
      </c>
      <c r="AI3" s="22"/>
      <c r="AJ3" s="22"/>
      <c r="AK3" s="22"/>
      <c r="AL3" s="22"/>
      <c r="AM3" s="22"/>
      <c r="AN3" s="223" t="s">
        <v>140</v>
      </c>
      <c r="AO3" s="223" t="s">
        <v>141</v>
      </c>
      <c r="AP3" s="223" t="s">
        <v>142</v>
      </c>
      <c r="AQ3" s="223" t="s">
        <v>143</v>
      </c>
      <c r="AR3" s="223" t="s">
        <v>144</v>
      </c>
      <c r="AS3" s="223" t="s">
        <v>145</v>
      </c>
      <c r="AT3" s="223" t="s">
        <v>146</v>
      </c>
      <c r="AU3" s="223" t="s">
        <v>147</v>
      </c>
      <c r="AV3" s="223" t="s">
        <v>148</v>
      </c>
      <c r="AW3" s="223" t="s">
        <v>149</v>
      </c>
      <c r="AX3" s="223" t="s">
        <v>150</v>
      </c>
      <c r="AY3" s="223" t="s">
        <v>151</v>
      </c>
      <c r="AZ3" s="223" t="s">
        <v>152</v>
      </c>
      <c r="BA3" s="223" t="s">
        <v>153</v>
      </c>
      <c r="BB3" s="223" t="s">
        <v>154</v>
      </c>
      <c r="BC3" s="223" t="s">
        <v>155</v>
      </c>
      <c r="BD3" s="223" t="s">
        <v>156</v>
      </c>
      <c r="BE3" s="223" t="s">
        <v>157</v>
      </c>
      <c r="BF3" s="92"/>
      <c r="BG3" s="92"/>
      <c r="BH3" s="92"/>
      <c r="BI3" s="92"/>
      <c r="BJ3" s="92"/>
      <c r="BK3" s="223" t="s">
        <v>169</v>
      </c>
      <c r="BL3" s="223" t="s">
        <v>170</v>
      </c>
      <c r="BM3" s="223" t="s">
        <v>171</v>
      </c>
      <c r="BN3" s="223" t="s">
        <v>172</v>
      </c>
      <c r="BO3" s="32" t="s">
        <v>410</v>
      </c>
      <c r="BP3" s="32" t="s">
        <v>411</v>
      </c>
      <c r="BQ3" s="16"/>
      <c r="BR3" s="16"/>
      <c r="BS3" s="223" t="s">
        <v>173</v>
      </c>
      <c r="BT3" s="223" t="s">
        <v>174</v>
      </c>
      <c r="BU3" s="223" t="s">
        <v>175</v>
      </c>
      <c r="BV3" s="223" t="s">
        <v>176</v>
      </c>
      <c r="BW3" s="223" t="s">
        <v>177</v>
      </c>
      <c r="BX3" s="223" t="s">
        <v>178</v>
      </c>
      <c r="BY3" s="223" t="s">
        <v>164</v>
      </c>
      <c r="BZ3" s="223" t="s">
        <v>165</v>
      </c>
      <c r="CA3" s="223" t="s">
        <v>166</v>
      </c>
      <c r="CB3" s="223" t="s">
        <v>167</v>
      </c>
      <c r="CC3" s="223" t="s">
        <v>168</v>
      </c>
      <c r="CD3" s="223" t="s">
        <v>179</v>
      </c>
      <c r="CE3" s="223" t="s">
        <v>180</v>
      </c>
      <c r="CF3" s="223" t="s">
        <v>181</v>
      </c>
      <c r="CG3" s="223" t="s">
        <v>182</v>
      </c>
      <c r="CH3" s="223" t="s">
        <v>183</v>
      </c>
      <c r="CI3" s="223" t="s">
        <v>184</v>
      </c>
      <c r="CJ3" s="223" t="s">
        <v>185</v>
      </c>
      <c r="CK3" s="223" t="s">
        <v>186</v>
      </c>
      <c r="CL3" s="223" t="s">
        <v>187</v>
      </c>
      <c r="CM3" s="223" t="s">
        <v>188</v>
      </c>
      <c r="CN3" s="223" t="s">
        <v>189</v>
      </c>
      <c r="CO3" s="223" t="s">
        <v>190</v>
      </c>
      <c r="CP3" s="223" t="s">
        <v>191</v>
      </c>
      <c r="CQ3" s="223" t="s">
        <v>192</v>
      </c>
      <c r="CR3" s="223" t="s">
        <v>193</v>
      </c>
      <c r="CS3" s="223" t="s">
        <v>194</v>
      </c>
      <c r="CT3" s="223" t="s">
        <v>195</v>
      </c>
      <c r="CU3" s="223" t="s">
        <v>196</v>
      </c>
      <c r="CV3" s="23"/>
      <c r="CW3" s="23"/>
      <c r="CX3" s="23"/>
      <c r="CY3" s="23"/>
      <c r="CZ3" s="23"/>
      <c r="DA3" s="223" t="s">
        <v>179</v>
      </c>
      <c r="DB3" s="223" t="s">
        <v>180</v>
      </c>
      <c r="DC3" s="223" t="s">
        <v>181</v>
      </c>
      <c r="DD3" s="223" t="s">
        <v>182</v>
      </c>
      <c r="DE3" s="223" t="s">
        <v>183</v>
      </c>
      <c r="DF3" s="223" t="s">
        <v>184</v>
      </c>
      <c r="DG3" s="223" t="s">
        <v>185</v>
      </c>
      <c r="DH3" s="223" t="s">
        <v>186</v>
      </c>
      <c r="DI3" s="223" t="s">
        <v>187</v>
      </c>
      <c r="DJ3" s="223" t="s">
        <v>188</v>
      </c>
      <c r="DK3" s="223" t="s">
        <v>189</v>
      </c>
      <c r="DL3" s="223" t="s">
        <v>190</v>
      </c>
      <c r="DM3" s="223" t="s">
        <v>191</v>
      </c>
      <c r="DN3" s="223" t="s">
        <v>192</v>
      </c>
      <c r="DO3" s="223" t="s">
        <v>193</v>
      </c>
      <c r="DP3" s="223" t="s">
        <v>194</v>
      </c>
      <c r="DQ3" s="223" t="s">
        <v>195</v>
      </c>
      <c r="DR3" s="223" t="s">
        <v>196</v>
      </c>
      <c r="DS3" s="23"/>
      <c r="DT3" s="23"/>
      <c r="DU3" s="23"/>
      <c r="DV3" s="23"/>
      <c r="DW3" s="23"/>
      <c r="DX3" s="223" t="s">
        <v>197</v>
      </c>
      <c r="DY3" s="223" t="s">
        <v>198</v>
      </c>
      <c r="DZ3" s="223" t="s">
        <v>199</v>
      </c>
      <c r="EA3" s="223" t="s">
        <v>200</v>
      </c>
      <c r="EB3" s="32" t="s">
        <v>412</v>
      </c>
      <c r="EC3" s="32" t="s">
        <v>413</v>
      </c>
    </row>
    <row r="4" spans="1:133" ht="12.95" customHeight="1">
      <c r="A4" s="12">
        <v>1</v>
      </c>
      <c r="B4" s="13" t="s">
        <v>34</v>
      </c>
      <c r="C4" s="19" t="s">
        <v>201</v>
      </c>
      <c r="D4" s="4">
        <f t="shared" ref="D4:D51" si="0">SUM(F4:K4)</f>
        <v>9685</v>
      </c>
      <c r="E4" s="4">
        <f t="shared" ref="E4:E51" si="1">SUM(AN4:BE4)</f>
        <v>4697</v>
      </c>
      <c r="F4" s="310">
        <v>0</v>
      </c>
      <c r="G4" s="376">
        <v>1733</v>
      </c>
      <c r="H4" s="376">
        <v>1617</v>
      </c>
      <c r="I4" s="376">
        <v>1228</v>
      </c>
      <c r="J4" s="376">
        <v>1177</v>
      </c>
      <c r="K4" s="376">
        <v>3930</v>
      </c>
      <c r="L4" s="377">
        <v>7323</v>
      </c>
      <c r="M4" s="377">
        <v>192</v>
      </c>
      <c r="N4" s="377">
        <v>485</v>
      </c>
      <c r="O4" s="377">
        <v>1564</v>
      </c>
      <c r="P4" s="377">
        <v>126</v>
      </c>
      <c r="Q4" s="378">
        <v>30</v>
      </c>
      <c r="R4" s="378">
        <v>11</v>
      </c>
      <c r="S4" s="378">
        <v>11</v>
      </c>
      <c r="T4" s="378">
        <v>9</v>
      </c>
      <c r="U4" s="378">
        <v>23</v>
      </c>
      <c r="V4" s="378">
        <v>37</v>
      </c>
      <c r="W4" s="378">
        <v>46</v>
      </c>
      <c r="X4" s="378">
        <v>70</v>
      </c>
      <c r="Y4" s="378">
        <v>161</v>
      </c>
      <c r="Z4" s="378">
        <v>250</v>
      </c>
      <c r="AA4" s="378">
        <v>738</v>
      </c>
      <c r="AB4" s="378">
        <v>1266</v>
      </c>
      <c r="AC4" s="378">
        <v>1415</v>
      </c>
      <c r="AD4" s="378">
        <v>1601</v>
      </c>
      <c r="AE4" s="378">
        <v>1549</v>
      </c>
      <c r="AF4" s="378">
        <v>1169</v>
      </c>
      <c r="AG4" s="378">
        <v>784</v>
      </c>
      <c r="AH4" s="378">
        <v>515</v>
      </c>
      <c r="AI4" s="24">
        <f t="shared" ref="AI4:AI51" si="2">Q4+R4+S4</f>
        <v>52</v>
      </c>
      <c r="AJ4" s="24">
        <f t="shared" ref="AJ4:AJ51" si="3">T4+U4+V4</f>
        <v>69</v>
      </c>
      <c r="AK4" s="24">
        <f t="shared" ref="AK4:AK51" si="4">W4+X4+Y4+Z4+AA4</f>
        <v>1265</v>
      </c>
      <c r="AL4" s="24">
        <f t="shared" ref="AL4:AL51" si="5">AB4+AC4+AD4+AE4</f>
        <v>5831</v>
      </c>
      <c r="AM4" s="24">
        <f t="shared" ref="AM4:AM51" si="6">AF4+AG4+AH4</f>
        <v>2468</v>
      </c>
      <c r="AN4" s="379">
        <v>6</v>
      </c>
      <c r="AO4" s="379">
        <v>0</v>
      </c>
      <c r="AP4" s="379">
        <v>3</v>
      </c>
      <c r="AQ4" s="379">
        <v>2</v>
      </c>
      <c r="AR4" s="379">
        <v>6</v>
      </c>
      <c r="AS4" s="379">
        <v>6</v>
      </c>
      <c r="AT4" s="379">
        <v>15</v>
      </c>
      <c r="AU4" s="379">
        <v>27</v>
      </c>
      <c r="AV4" s="379">
        <v>60</v>
      </c>
      <c r="AW4" s="379">
        <v>102</v>
      </c>
      <c r="AX4" s="379">
        <v>293</v>
      </c>
      <c r="AY4" s="379">
        <v>446</v>
      </c>
      <c r="AZ4" s="379">
        <v>573</v>
      </c>
      <c r="BA4" s="379">
        <v>677</v>
      </c>
      <c r="BB4" s="379">
        <v>730</v>
      </c>
      <c r="BC4" s="379">
        <v>759</v>
      </c>
      <c r="BD4" s="379">
        <v>583</v>
      </c>
      <c r="BE4" s="379">
        <v>409</v>
      </c>
      <c r="BF4" s="93">
        <f>SUM(AN4:AP4)</f>
        <v>9</v>
      </c>
      <c r="BG4" s="93">
        <f>SUM(AQ4:AS4)</f>
        <v>14</v>
      </c>
      <c r="BH4" s="93">
        <f>SUM(AT4:AX4)</f>
        <v>497</v>
      </c>
      <c r="BI4" s="93">
        <f>SUM(AY4:BB4)</f>
        <v>2426</v>
      </c>
      <c r="BJ4" s="93">
        <f>SUM(BC4:BE4)</f>
        <v>1751</v>
      </c>
      <c r="BK4" s="380">
        <v>45657</v>
      </c>
      <c r="BL4" s="380">
        <v>26424</v>
      </c>
      <c r="BM4" s="380">
        <v>9545</v>
      </c>
      <c r="BN4" s="380">
        <v>51522</v>
      </c>
      <c r="BO4" s="96"/>
      <c r="BP4" s="96"/>
      <c r="BQ4" s="5">
        <f t="shared" ref="BQ4:BQ51" si="7">SUM(BS4:BX4)</f>
        <v>9696</v>
      </c>
      <c r="BR4" s="5">
        <f t="shared" ref="BR4:BR51" si="8">SUM(DA4:DR4)</f>
        <v>3757</v>
      </c>
      <c r="BS4" s="308">
        <v>0</v>
      </c>
      <c r="BT4" s="381">
        <v>2781</v>
      </c>
      <c r="BU4" s="381">
        <v>1454</v>
      </c>
      <c r="BV4" s="381">
        <v>1085</v>
      </c>
      <c r="BW4" s="381">
        <v>827</v>
      </c>
      <c r="BX4" s="381">
        <v>3549</v>
      </c>
      <c r="BY4" s="382">
        <v>7751</v>
      </c>
      <c r="BZ4" s="382">
        <v>264</v>
      </c>
      <c r="CA4" s="382">
        <v>347</v>
      </c>
      <c r="CB4" s="382">
        <v>1221</v>
      </c>
      <c r="CC4" s="382">
        <v>116</v>
      </c>
      <c r="CD4" s="383">
        <v>11</v>
      </c>
      <c r="CE4" s="383">
        <v>13</v>
      </c>
      <c r="CF4" s="383">
        <v>10</v>
      </c>
      <c r="CG4" s="383">
        <v>22</v>
      </c>
      <c r="CH4" s="383">
        <v>47</v>
      </c>
      <c r="CI4" s="383">
        <v>210</v>
      </c>
      <c r="CJ4" s="383">
        <v>281</v>
      </c>
      <c r="CK4" s="383">
        <v>327</v>
      </c>
      <c r="CL4" s="383">
        <v>384</v>
      </c>
      <c r="CM4" s="383">
        <v>511</v>
      </c>
      <c r="CN4" s="383">
        <v>789</v>
      </c>
      <c r="CO4" s="383">
        <v>915</v>
      </c>
      <c r="CP4" s="383">
        <v>954</v>
      </c>
      <c r="CQ4" s="383">
        <v>1058</v>
      </c>
      <c r="CR4" s="383">
        <v>1139</v>
      </c>
      <c r="CS4" s="383">
        <v>1200</v>
      </c>
      <c r="CT4" s="383">
        <v>1017</v>
      </c>
      <c r="CU4" s="383">
        <v>808</v>
      </c>
      <c r="CV4" s="25">
        <f t="shared" ref="CV4:CV51" si="9">CD4+CE4+CF4</f>
        <v>34</v>
      </c>
      <c r="CW4" s="25">
        <f t="shared" ref="CW4:CW51" si="10">CG4+CH4+CI4</f>
        <v>279</v>
      </c>
      <c r="CX4" s="25">
        <f t="shared" ref="CX4:CX51" si="11">CJ4+CK4+CL4+CM4+CN4</f>
        <v>2292</v>
      </c>
      <c r="CY4" s="25">
        <f t="shared" ref="CY4:CY51" si="12">CO4+CP4+CQ4+CR4</f>
        <v>4066</v>
      </c>
      <c r="CZ4" s="25">
        <f t="shared" ref="CZ4:CZ51" si="13">CS4+CT4+CU4</f>
        <v>3025</v>
      </c>
      <c r="DA4" s="384">
        <v>2</v>
      </c>
      <c r="DB4" s="384">
        <v>2</v>
      </c>
      <c r="DC4" s="384">
        <v>2</v>
      </c>
      <c r="DD4" s="384">
        <v>3</v>
      </c>
      <c r="DE4" s="384">
        <v>1</v>
      </c>
      <c r="DF4" s="384">
        <v>4</v>
      </c>
      <c r="DG4" s="384">
        <v>16</v>
      </c>
      <c r="DH4" s="384">
        <v>30</v>
      </c>
      <c r="DI4" s="384">
        <v>78</v>
      </c>
      <c r="DJ4" s="384">
        <v>111</v>
      </c>
      <c r="DK4" s="384">
        <v>200</v>
      </c>
      <c r="DL4" s="384">
        <v>266</v>
      </c>
      <c r="DM4" s="384">
        <v>346</v>
      </c>
      <c r="DN4" s="384">
        <v>430</v>
      </c>
      <c r="DO4" s="384">
        <v>478</v>
      </c>
      <c r="DP4" s="384">
        <v>588</v>
      </c>
      <c r="DQ4" s="384">
        <v>648</v>
      </c>
      <c r="DR4" s="384">
        <v>552</v>
      </c>
      <c r="DS4" s="94">
        <f>SUM(DA4:DC4)</f>
        <v>6</v>
      </c>
      <c r="DT4" s="94">
        <f>SUM(DD4:DF4)</f>
        <v>8</v>
      </c>
      <c r="DU4" s="94">
        <f>SUM(DG4:DK4)</f>
        <v>435</v>
      </c>
      <c r="DV4" s="94">
        <f>SUM(DL4:DO4)</f>
        <v>1520</v>
      </c>
      <c r="DW4" s="94">
        <f>SUM(DP4:DR4)</f>
        <v>1788</v>
      </c>
      <c r="DX4" s="385">
        <v>63126</v>
      </c>
      <c r="DY4" s="385">
        <v>40146</v>
      </c>
      <c r="DZ4" s="385">
        <v>22523</v>
      </c>
      <c r="EA4" s="385">
        <v>69782</v>
      </c>
      <c r="EB4" s="96"/>
      <c r="EC4" s="96"/>
    </row>
    <row r="5" spans="1:133" ht="12.95" customHeight="1">
      <c r="A5" s="2">
        <v>2</v>
      </c>
      <c r="B5" s="3" t="s">
        <v>35</v>
      </c>
      <c r="C5" s="3" t="s">
        <v>36</v>
      </c>
      <c r="D5" s="4">
        <f t="shared" si="0"/>
        <v>9319</v>
      </c>
      <c r="E5" s="4">
        <f t="shared" si="1"/>
        <v>4645</v>
      </c>
      <c r="F5" s="312">
        <v>0</v>
      </c>
      <c r="G5" s="376">
        <v>1733</v>
      </c>
      <c r="H5" s="376">
        <v>1617</v>
      </c>
      <c r="I5" s="376">
        <v>1228</v>
      </c>
      <c r="J5" s="376">
        <v>1177</v>
      </c>
      <c r="K5" s="376">
        <v>3564</v>
      </c>
      <c r="L5" s="377">
        <v>7006</v>
      </c>
      <c r="M5" s="377">
        <v>189</v>
      </c>
      <c r="N5" s="377">
        <v>482</v>
      </c>
      <c r="O5" s="377">
        <v>1532</v>
      </c>
      <c r="P5" s="377">
        <v>115</v>
      </c>
      <c r="Q5" s="378">
        <v>26</v>
      </c>
      <c r="R5" s="378">
        <v>10</v>
      </c>
      <c r="S5" s="378">
        <v>10</v>
      </c>
      <c r="T5" s="378">
        <v>8</v>
      </c>
      <c r="U5" s="378">
        <v>21</v>
      </c>
      <c r="V5" s="378">
        <v>33</v>
      </c>
      <c r="W5" s="378">
        <v>41</v>
      </c>
      <c r="X5" s="378">
        <v>65</v>
      </c>
      <c r="Y5" s="378">
        <v>148</v>
      </c>
      <c r="Z5" s="378">
        <v>235</v>
      </c>
      <c r="AA5" s="378">
        <v>709</v>
      </c>
      <c r="AB5" s="378">
        <v>1230</v>
      </c>
      <c r="AC5" s="378">
        <v>1380</v>
      </c>
      <c r="AD5" s="378">
        <v>1553</v>
      </c>
      <c r="AE5" s="378">
        <v>1499</v>
      </c>
      <c r="AF5" s="378">
        <v>1106</v>
      </c>
      <c r="AG5" s="378">
        <v>751</v>
      </c>
      <c r="AH5" s="378">
        <v>494</v>
      </c>
      <c r="AI5" s="24">
        <f t="shared" si="2"/>
        <v>46</v>
      </c>
      <c r="AJ5" s="24">
        <f t="shared" si="3"/>
        <v>62</v>
      </c>
      <c r="AK5" s="24">
        <f t="shared" si="4"/>
        <v>1198</v>
      </c>
      <c r="AL5" s="24">
        <f t="shared" si="5"/>
        <v>5662</v>
      </c>
      <c r="AM5" s="24">
        <f t="shared" si="6"/>
        <v>2351</v>
      </c>
      <c r="AN5" s="379">
        <v>5</v>
      </c>
      <c r="AO5" s="379">
        <v>0</v>
      </c>
      <c r="AP5" s="379">
        <v>3</v>
      </c>
      <c r="AQ5" s="379">
        <v>2</v>
      </c>
      <c r="AR5" s="379">
        <v>5</v>
      </c>
      <c r="AS5" s="379">
        <v>6</v>
      </c>
      <c r="AT5" s="379">
        <v>13</v>
      </c>
      <c r="AU5" s="379">
        <v>27</v>
      </c>
      <c r="AV5" s="379">
        <v>60</v>
      </c>
      <c r="AW5" s="379">
        <v>101</v>
      </c>
      <c r="AX5" s="379">
        <v>290</v>
      </c>
      <c r="AY5" s="379">
        <v>442</v>
      </c>
      <c r="AZ5" s="379">
        <v>571</v>
      </c>
      <c r="BA5" s="379">
        <v>674</v>
      </c>
      <c r="BB5" s="379">
        <v>723</v>
      </c>
      <c r="BC5" s="379">
        <v>744</v>
      </c>
      <c r="BD5" s="379">
        <v>576</v>
      </c>
      <c r="BE5" s="379">
        <v>403</v>
      </c>
      <c r="BF5" s="93">
        <f t="shared" ref="BF5:BF51" si="14">SUM(AN5:AP5)</f>
        <v>8</v>
      </c>
      <c r="BG5" s="93">
        <f t="shared" ref="BG5:BG51" si="15">SUM(AQ5:AS5)</f>
        <v>13</v>
      </c>
      <c r="BH5" s="93">
        <f t="shared" ref="BH5:BH51" si="16">SUM(AT5:AX5)</f>
        <v>491</v>
      </c>
      <c r="BI5" s="93">
        <f t="shared" ref="BI5:BI51" si="17">SUM(AY5:BB5)</f>
        <v>2410</v>
      </c>
      <c r="BJ5" s="93">
        <f t="shared" ref="BJ5:BJ51" si="18">SUM(BC5:BE5)</f>
        <v>1723</v>
      </c>
      <c r="BK5" s="380">
        <v>44291</v>
      </c>
      <c r="BL5" s="380">
        <v>25801</v>
      </c>
      <c r="BM5" s="380">
        <v>9398</v>
      </c>
      <c r="BN5" s="380">
        <v>49916</v>
      </c>
      <c r="BO5" s="96"/>
      <c r="BP5" s="96"/>
      <c r="BQ5" s="5">
        <f t="shared" si="7"/>
        <v>8389</v>
      </c>
      <c r="BR5" s="5">
        <f t="shared" si="8"/>
        <v>3702</v>
      </c>
      <c r="BS5" s="309">
        <v>0</v>
      </c>
      <c r="BT5" s="381">
        <v>2743</v>
      </c>
      <c r="BU5" s="381">
        <v>1449</v>
      </c>
      <c r="BV5" s="381">
        <v>1082</v>
      </c>
      <c r="BW5" s="381">
        <v>827</v>
      </c>
      <c r="BX5" s="381">
        <v>2288</v>
      </c>
      <c r="BY5" s="382">
        <v>6532</v>
      </c>
      <c r="BZ5" s="382">
        <v>258</v>
      </c>
      <c r="CA5" s="382">
        <v>336</v>
      </c>
      <c r="CB5" s="382">
        <v>1167</v>
      </c>
      <c r="CC5" s="382">
        <v>98</v>
      </c>
      <c r="CD5" s="383">
        <v>8</v>
      </c>
      <c r="CE5" s="383">
        <v>13</v>
      </c>
      <c r="CF5" s="383">
        <v>7</v>
      </c>
      <c r="CG5" s="383">
        <v>19</v>
      </c>
      <c r="CH5" s="383">
        <v>31</v>
      </c>
      <c r="CI5" s="383">
        <v>60</v>
      </c>
      <c r="CJ5" s="383">
        <v>102</v>
      </c>
      <c r="CK5" s="383">
        <v>172</v>
      </c>
      <c r="CL5" s="383">
        <v>279</v>
      </c>
      <c r="CM5" s="383">
        <v>426</v>
      </c>
      <c r="CN5" s="383">
        <v>691</v>
      </c>
      <c r="CO5" s="383">
        <v>819</v>
      </c>
      <c r="CP5" s="383">
        <v>878</v>
      </c>
      <c r="CQ5" s="383">
        <v>986</v>
      </c>
      <c r="CR5" s="383">
        <v>1048</v>
      </c>
      <c r="CS5" s="383">
        <v>1129</v>
      </c>
      <c r="CT5" s="383">
        <v>956</v>
      </c>
      <c r="CU5" s="383">
        <v>765</v>
      </c>
      <c r="CV5" s="25">
        <f t="shared" si="9"/>
        <v>28</v>
      </c>
      <c r="CW5" s="25">
        <f t="shared" si="10"/>
        <v>110</v>
      </c>
      <c r="CX5" s="25">
        <f t="shared" si="11"/>
        <v>1670</v>
      </c>
      <c r="CY5" s="25">
        <f t="shared" si="12"/>
        <v>3731</v>
      </c>
      <c r="CZ5" s="25">
        <f t="shared" si="13"/>
        <v>2850</v>
      </c>
      <c r="DA5" s="384">
        <v>2</v>
      </c>
      <c r="DB5" s="384">
        <v>2</v>
      </c>
      <c r="DC5" s="384">
        <v>1</v>
      </c>
      <c r="DD5" s="384">
        <v>3</v>
      </c>
      <c r="DE5" s="384">
        <v>1</v>
      </c>
      <c r="DF5" s="384">
        <v>4</v>
      </c>
      <c r="DG5" s="384">
        <v>16</v>
      </c>
      <c r="DH5" s="384">
        <v>30</v>
      </c>
      <c r="DI5" s="384">
        <v>78</v>
      </c>
      <c r="DJ5" s="384">
        <v>111</v>
      </c>
      <c r="DK5" s="384">
        <v>199</v>
      </c>
      <c r="DL5" s="384">
        <v>265</v>
      </c>
      <c r="DM5" s="384">
        <v>344</v>
      </c>
      <c r="DN5" s="384">
        <v>425</v>
      </c>
      <c r="DO5" s="384">
        <v>463</v>
      </c>
      <c r="DP5" s="384">
        <v>582</v>
      </c>
      <c r="DQ5" s="384">
        <v>637</v>
      </c>
      <c r="DR5" s="384">
        <v>539</v>
      </c>
      <c r="DS5" s="94">
        <f t="shared" ref="DS5:DS51" si="19">SUM(DA5:DC5)</f>
        <v>5</v>
      </c>
      <c r="DT5" s="94">
        <f t="shared" ref="DT5:DT51" si="20">SUM(DD5:DF5)</f>
        <v>8</v>
      </c>
      <c r="DU5" s="94">
        <f t="shared" ref="DU5:DU51" si="21">SUM(DG5:DK5)</f>
        <v>434</v>
      </c>
      <c r="DV5" s="94">
        <f t="shared" ref="DV5:DV51" si="22">SUM(DL5:DO5)</f>
        <v>1497</v>
      </c>
      <c r="DW5" s="94">
        <f t="shared" ref="DW5:DW51" si="23">SUM(DP5:DR5)</f>
        <v>1758</v>
      </c>
      <c r="DX5" s="385">
        <v>53908</v>
      </c>
      <c r="DY5" s="385">
        <v>35090</v>
      </c>
      <c r="DZ5" s="385">
        <v>21081</v>
      </c>
      <c r="EA5" s="385">
        <v>59439</v>
      </c>
      <c r="EB5" s="96"/>
      <c r="EC5" s="96"/>
    </row>
    <row r="6" spans="1:133" ht="12.95" customHeight="1">
      <c r="A6" s="12">
        <v>3</v>
      </c>
      <c r="B6" s="3" t="s">
        <v>37</v>
      </c>
      <c r="C6" s="3" t="s">
        <v>38</v>
      </c>
      <c r="D6" s="4">
        <f t="shared" si="0"/>
        <v>11</v>
      </c>
      <c r="E6" s="4">
        <f t="shared" si="1"/>
        <v>5</v>
      </c>
      <c r="F6" s="312">
        <v>0</v>
      </c>
      <c r="G6" s="376">
        <v>5</v>
      </c>
      <c r="H6" s="376">
        <v>0</v>
      </c>
      <c r="I6" s="376">
        <v>1</v>
      </c>
      <c r="J6" s="376">
        <v>2</v>
      </c>
      <c r="K6" s="376">
        <v>3</v>
      </c>
      <c r="L6" s="377">
        <v>7</v>
      </c>
      <c r="M6" s="377">
        <v>0</v>
      </c>
      <c r="N6" s="377">
        <v>1</v>
      </c>
      <c r="O6" s="377">
        <v>2</v>
      </c>
      <c r="P6" s="377">
        <v>1</v>
      </c>
      <c r="Q6" s="378">
        <v>0</v>
      </c>
      <c r="R6" s="378">
        <v>0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2</v>
      </c>
      <c r="AE6" s="378">
        <v>2</v>
      </c>
      <c r="AF6" s="378">
        <v>1</v>
      </c>
      <c r="AG6" s="378">
        <v>4</v>
      </c>
      <c r="AH6" s="378">
        <v>2</v>
      </c>
      <c r="AI6" s="24">
        <f t="shared" si="2"/>
        <v>0</v>
      </c>
      <c r="AJ6" s="24">
        <f t="shared" si="3"/>
        <v>0</v>
      </c>
      <c r="AK6" s="24">
        <f t="shared" si="4"/>
        <v>0</v>
      </c>
      <c r="AL6" s="24">
        <f t="shared" si="5"/>
        <v>4</v>
      </c>
      <c r="AM6" s="24">
        <f t="shared" si="6"/>
        <v>7</v>
      </c>
      <c r="AN6" s="379">
        <v>0</v>
      </c>
      <c r="AO6" s="379">
        <v>0</v>
      </c>
      <c r="AP6" s="379">
        <v>0</v>
      </c>
      <c r="AQ6" s="379">
        <v>0</v>
      </c>
      <c r="AR6" s="379">
        <v>0</v>
      </c>
      <c r="AS6" s="379">
        <v>0</v>
      </c>
      <c r="AT6" s="379">
        <v>0</v>
      </c>
      <c r="AU6" s="379">
        <v>0</v>
      </c>
      <c r="AV6" s="379">
        <v>0</v>
      </c>
      <c r="AW6" s="379">
        <v>0</v>
      </c>
      <c r="AX6" s="379">
        <v>0</v>
      </c>
      <c r="AY6" s="379">
        <v>0</v>
      </c>
      <c r="AZ6" s="379">
        <v>0</v>
      </c>
      <c r="BA6" s="379">
        <v>0</v>
      </c>
      <c r="BB6" s="379">
        <v>2</v>
      </c>
      <c r="BC6" s="379">
        <v>0</v>
      </c>
      <c r="BD6" s="379">
        <v>3</v>
      </c>
      <c r="BE6" s="379">
        <v>0</v>
      </c>
      <c r="BF6" s="93">
        <f t="shared" si="14"/>
        <v>0</v>
      </c>
      <c r="BG6" s="93">
        <f t="shared" si="15"/>
        <v>0</v>
      </c>
      <c r="BH6" s="93">
        <f t="shared" si="16"/>
        <v>0</v>
      </c>
      <c r="BI6" s="93">
        <f t="shared" si="17"/>
        <v>2</v>
      </c>
      <c r="BJ6" s="93">
        <f t="shared" si="18"/>
        <v>3</v>
      </c>
      <c r="BK6" s="380">
        <v>295</v>
      </c>
      <c r="BL6" s="380">
        <v>242</v>
      </c>
      <c r="BM6" s="380">
        <v>184</v>
      </c>
      <c r="BN6" s="380">
        <v>300</v>
      </c>
      <c r="BO6" s="96">
        <v>0.92435694000000002</v>
      </c>
      <c r="BP6" s="96">
        <v>0.77949864000000002</v>
      </c>
      <c r="BQ6" s="5">
        <f t="shared" si="7"/>
        <v>8</v>
      </c>
      <c r="BR6" s="5">
        <f t="shared" si="8"/>
        <v>2</v>
      </c>
      <c r="BS6" s="309">
        <v>0</v>
      </c>
      <c r="BT6" s="381">
        <v>5</v>
      </c>
      <c r="BU6" s="381">
        <v>2</v>
      </c>
      <c r="BV6" s="381">
        <v>0</v>
      </c>
      <c r="BW6" s="381">
        <v>1</v>
      </c>
      <c r="BX6" s="381">
        <v>0</v>
      </c>
      <c r="BY6" s="382">
        <v>8</v>
      </c>
      <c r="BZ6" s="382">
        <v>0</v>
      </c>
      <c r="CA6" s="382">
        <v>0</v>
      </c>
      <c r="CB6" s="382">
        <v>0</v>
      </c>
      <c r="CC6" s="382">
        <v>0</v>
      </c>
      <c r="CD6" s="383">
        <v>0</v>
      </c>
      <c r="CE6" s="383">
        <v>0</v>
      </c>
      <c r="CF6" s="383">
        <v>0</v>
      </c>
      <c r="CG6" s="383">
        <v>0</v>
      </c>
      <c r="CH6" s="383">
        <v>0</v>
      </c>
      <c r="CI6" s="383">
        <v>0</v>
      </c>
      <c r="CJ6" s="383">
        <v>0</v>
      </c>
      <c r="CK6" s="383">
        <v>0</v>
      </c>
      <c r="CL6" s="383">
        <v>0</v>
      </c>
      <c r="CM6" s="383">
        <v>0</v>
      </c>
      <c r="CN6" s="383">
        <v>0</v>
      </c>
      <c r="CO6" s="383">
        <v>0</v>
      </c>
      <c r="CP6" s="383">
        <v>0</v>
      </c>
      <c r="CQ6" s="383">
        <v>0</v>
      </c>
      <c r="CR6" s="383">
        <v>2</v>
      </c>
      <c r="CS6" s="383">
        <v>2</v>
      </c>
      <c r="CT6" s="383">
        <v>0</v>
      </c>
      <c r="CU6" s="383">
        <v>4</v>
      </c>
      <c r="CV6" s="25">
        <f t="shared" si="9"/>
        <v>0</v>
      </c>
      <c r="CW6" s="25">
        <f t="shared" si="10"/>
        <v>0</v>
      </c>
      <c r="CX6" s="25">
        <f t="shared" si="11"/>
        <v>0</v>
      </c>
      <c r="CY6" s="25">
        <f t="shared" si="12"/>
        <v>2</v>
      </c>
      <c r="CZ6" s="25">
        <f t="shared" si="13"/>
        <v>6</v>
      </c>
      <c r="DA6" s="384">
        <v>0</v>
      </c>
      <c r="DB6" s="384">
        <v>0</v>
      </c>
      <c r="DC6" s="384">
        <v>0</v>
      </c>
      <c r="DD6" s="384">
        <v>0</v>
      </c>
      <c r="DE6" s="384">
        <v>0</v>
      </c>
      <c r="DF6" s="384">
        <v>0</v>
      </c>
      <c r="DG6" s="384">
        <v>0</v>
      </c>
      <c r="DH6" s="384">
        <v>0</v>
      </c>
      <c r="DI6" s="384">
        <v>0</v>
      </c>
      <c r="DJ6" s="384">
        <v>0</v>
      </c>
      <c r="DK6" s="384">
        <v>0</v>
      </c>
      <c r="DL6" s="384">
        <v>0</v>
      </c>
      <c r="DM6" s="384">
        <v>0</v>
      </c>
      <c r="DN6" s="384">
        <v>0</v>
      </c>
      <c r="DO6" s="384">
        <v>0</v>
      </c>
      <c r="DP6" s="384">
        <v>0</v>
      </c>
      <c r="DQ6" s="384">
        <v>0</v>
      </c>
      <c r="DR6" s="384">
        <v>2</v>
      </c>
      <c r="DS6" s="94">
        <f t="shared" si="19"/>
        <v>0</v>
      </c>
      <c r="DT6" s="94">
        <f t="shared" si="20"/>
        <v>0</v>
      </c>
      <c r="DU6" s="94">
        <f t="shared" si="21"/>
        <v>0</v>
      </c>
      <c r="DV6" s="94">
        <f t="shared" si="22"/>
        <v>0</v>
      </c>
      <c r="DW6" s="94">
        <f t="shared" si="23"/>
        <v>2</v>
      </c>
      <c r="DX6" s="385">
        <v>112</v>
      </c>
      <c r="DY6" s="385">
        <v>86</v>
      </c>
      <c r="DZ6" s="385">
        <v>60</v>
      </c>
      <c r="EA6" s="385">
        <v>116</v>
      </c>
      <c r="EB6" s="96">
        <v>1</v>
      </c>
      <c r="EC6" s="96">
        <v>1</v>
      </c>
    </row>
    <row r="7" spans="1:133" ht="12.95" customHeight="1">
      <c r="A7" s="2">
        <v>4</v>
      </c>
      <c r="B7" s="3" t="s">
        <v>39</v>
      </c>
      <c r="C7" s="3" t="s">
        <v>40</v>
      </c>
      <c r="D7" s="4">
        <f t="shared" si="0"/>
        <v>292</v>
      </c>
      <c r="E7" s="4">
        <f t="shared" si="1"/>
        <v>231</v>
      </c>
      <c r="F7" s="312">
        <v>0</v>
      </c>
      <c r="G7" s="376">
        <v>12</v>
      </c>
      <c r="H7" s="376">
        <v>23</v>
      </c>
      <c r="I7" s="376">
        <v>41</v>
      </c>
      <c r="J7" s="376">
        <v>124</v>
      </c>
      <c r="K7" s="376">
        <v>92</v>
      </c>
      <c r="L7" s="377">
        <v>186</v>
      </c>
      <c r="M7" s="377">
        <v>19</v>
      </c>
      <c r="N7" s="377">
        <v>10</v>
      </c>
      <c r="O7" s="377">
        <v>71</v>
      </c>
      <c r="P7" s="377">
        <v>7</v>
      </c>
      <c r="Q7" s="378">
        <v>0</v>
      </c>
      <c r="R7" s="378">
        <v>0</v>
      </c>
      <c r="S7" s="378">
        <v>0</v>
      </c>
      <c r="T7" s="378">
        <v>0</v>
      </c>
      <c r="U7" s="378">
        <v>1</v>
      </c>
      <c r="V7" s="378">
        <v>1</v>
      </c>
      <c r="W7" s="378">
        <v>1</v>
      </c>
      <c r="X7" s="378">
        <v>1</v>
      </c>
      <c r="Y7" s="378">
        <v>15</v>
      </c>
      <c r="Z7" s="378">
        <v>23</v>
      </c>
      <c r="AA7" s="378">
        <v>39</v>
      </c>
      <c r="AB7" s="378">
        <v>63</v>
      </c>
      <c r="AC7" s="378">
        <v>56</v>
      </c>
      <c r="AD7" s="378">
        <v>48</v>
      </c>
      <c r="AE7" s="378">
        <v>24</v>
      </c>
      <c r="AF7" s="378">
        <v>14</v>
      </c>
      <c r="AG7" s="378">
        <v>2</v>
      </c>
      <c r="AH7" s="378">
        <v>4</v>
      </c>
      <c r="AI7" s="24">
        <f t="shared" si="2"/>
        <v>0</v>
      </c>
      <c r="AJ7" s="24">
        <f t="shared" si="3"/>
        <v>2</v>
      </c>
      <c r="AK7" s="24">
        <f t="shared" si="4"/>
        <v>79</v>
      </c>
      <c r="AL7" s="24">
        <f t="shared" si="5"/>
        <v>191</v>
      </c>
      <c r="AM7" s="24">
        <f t="shared" si="6"/>
        <v>20</v>
      </c>
      <c r="AN7" s="379">
        <v>0</v>
      </c>
      <c r="AO7" s="379">
        <v>0</v>
      </c>
      <c r="AP7" s="379">
        <v>0</v>
      </c>
      <c r="AQ7" s="379">
        <v>0</v>
      </c>
      <c r="AR7" s="379">
        <v>0</v>
      </c>
      <c r="AS7" s="379">
        <v>0</v>
      </c>
      <c r="AT7" s="379">
        <v>0</v>
      </c>
      <c r="AU7" s="379">
        <v>2</v>
      </c>
      <c r="AV7" s="379">
        <v>12</v>
      </c>
      <c r="AW7" s="379">
        <v>16</v>
      </c>
      <c r="AX7" s="379">
        <v>37</v>
      </c>
      <c r="AY7" s="379">
        <v>51</v>
      </c>
      <c r="AZ7" s="379">
        <v>43</v>
      </c>
      <c r="BA7" s="379">
        <v>29</v>
      </c>
      <c r="BB7" s="379">
        <v>20</v>
      </c>
      <c r="BC7" s="379">
        <v>13</v>
      </c>
      <c r="BD7" s="379">
        <v>4</v>
      </c>
      <c r="BE7" s="379">
        <v>4</v>
      </c>
      <c r="BF7" s="93">
        <f t="shared" si="14"/>
        <v>0</v>
      </c>
      <c r="BG7" s="93">
        <f t="shared" si="15"/>
        <v>0</v>
      </c>
      <c r="BH7" s="93">
        <f t="shared" si="16"/>
        <v>67</v>
      </c>
      <c r="BI7" s="93">
        <f t="shared" si="17"/>
        <v>143</v>
      </c>
      <c r="BJ7" s="93">
        <f t="shared" si="18"/>
        <v>21</v>
      </c>
      <c r="BK7" s="380">
        <v>510</v>
      </c>
      <c r="BL7" s="380">
        <v>313</v>
      </c>
      <c r="BM7" s="380">
        <v>159</v>
      </c>
      <c r="BN7" s="380">
        <v>646</v>
      </c>
      <c r="BO7" s="96">
        <v>0.47117943000000001</v>
      </c>
      <c r="BP7" s="96">
        <v>0.19885588000000001</v>
      </c>
      <c r="BQ7" s="5">
        <f t="shared" si="7"/>
        <v>81</v>
      </c>
      <c r="BR7" s="5">
        <f t="shared" si="8"/>
        <v>58</v>
      </c>
      <c r="BS7" s="309">
        <v>0</v>
      </c>
      <c r="BT7" s="381">
        <v>10</v>
      </c>
      <c r="BU7" s="381">
        <v>9</v>
      </c>
      <c r="BV7" s="381">
        <v>11</v>
      </c>
      <c r="BW7" s="381">
        <v>20</v>
      </c>
      <c r="BX7" s="381">
        <v>31</v>
      </c>
      <c r="BY7" s="382">
        <v>48</v>
      </c>
      <c r="BZ7" s="382">
        <v>6</v>
      </c>
      <c r="CA7" s="382">
        <v>5</v>
      </c>
      <c r="CB7" s="382">
        <v>20</v>
      </c>
      <c r="CC7" s="382">
        <v>2</v>
      </c>
      <c r="CD7" s="383">
        <v>0</v>
      </c>
      <c r="CE7" s="383">
        <v>0</v>
      </c>
      <c r="CF7" s="383">
        <v>0</v>
      </c>
      <c r="CG7" s="383">
        <v>0</v>
      </c>
      <c r="CH7" s="383">
        <v>0</v>
      </c>
      <c r="CI7" s="383">
        <v>1</v>
      </c>
      <c r="CJ7" s="383">
        <v>1</v>
      </c>
      <c r="CK7" s="383">
        <v>2</v>
      </c>
      <c r="CL7" s="383">
        <v>1</v>
      </c>
      <c r="CM7" s="383">
        <v>8</v>
      </c>
      <c r="CN7" s="383">
        <v>7</v>
      </c>
      <c r="CO7" s="383">
        <v>15</v>
      </c>
      <c r="CP7" s="383">
        <v>10</v>
      </c>
      <c r="CQ7" s="383">
        <v>9</v>
      </c>
      <c r="CR7" s="383">
        <v>11</v>
      </c>
      <c r="CS7" s="383">
        <v>5</v>
      </c>
      <c r="CT7" s="383">
        <v>4</v>
      </c>
      <c r="CU7" s="383">
        <v>7</v>
      </c>
      <c r="CV7" s="25">
        <f t="shared" si="9"/>
        <v>0</v>
      </c>
      <c r="CW7" s="25">
        <f t="shared" si="10"/>
        <v>1</v>
      </c>
      <c r="CX7" s="25">
        <f t="shared" si="11"/>
        <v>19</v>
      </c>
      <c r="CY7" s="25">
        <f t="shared" si="12"/>
        <v>45</v>
      </c>
      <c r="CZ7" s="25">
        <f t="shared" si="13"/>
        <v>16</v>
      </c>
      <c r="DA7" s="384">
        <v>0</v>
      </c>
      <c r="DB7" s="384">
        <v>0</v>
      </c>
      <c r="DC7" s="384">
        <v>0</v>
      </c>
      <c r="DD7" s="384">
        <v>0</v>
      </c>
      <c r="DE7" s="384">
        <v>0</v>
      </c>
      <c r="DF7" s="384">
        <v>0</v>
      </c>
      <c r="DG7" s="384">
        <v>0</v>
      </c>
      <c r="DH7" s="384">
        <v>0</v>
      </c>
      <c r="DI7" s="384">
        <v>3</v>
      </c>
      <c r="DJ7" s="384">
        <v>3</v>
      </c>
      <c r="DK7" s="384">
        <v>9</v>
      </c>
      <c r="DL7" s="384">
        <v>6</v>
      </c>
      <c r="DM7" s="384">
        <v>5</v>
      </c>
      <c r="DN7" s="384">
        <v>10</v>
      </c>
      <c r="DO7" s="384">
        <v>6</v>
      </c>
      <c r="DP7" s="384">
        <v>4</v>
      </c>
      <c r="DQ7" s="384">
        <v>2</v>
      </c>
      <c r="DR7" s="384">
        <v>10</v>
      </c>
      <c r="DS7" s="94">
        <f t="shared" si="19"/>
        <v>0</v>
      </c>
      <c r="DT7" s="94">
        <f t="shared" si="20"/>
        <v>0</v>
      </c>
      <c r="DU7" s="94">
        <f t="shared" si="21"/>
        <v>15</v>
      </c>
      <c r="DV7" s="94">
        <f t="shared" si="22"/>
        <v>27</v>
      </c>
      <c r="DW7" s="94">
        <f t="shared" si="23"/>
        <v>16</v>
      </c>
      <c r="DX7" s="385">
        <v>304</v>
      </c>
      <c r="DY7" s="385">
        <v>202</v>
      </c>
      <c r="DZ7" s="385">
        <v>129</v>
      </c>
      <c r="EA7" s="385">
        <v>351</v>
      </c>
      <c r="EB7" s="96">
        <v>0.72775434999999999</v>
      </c>
      <c r="EC7" s="96">
        <v>0.53880667999999998</v>
      </c>
    </row>
    <row r="8" spans="1:133" ht="12.95" customHeight="1">
      <c r="A8" s="12">
        <v>5</v>
      </c>
      <c r="B8" s="3" t="s">
        <v>41</v>
      </c>
      <c r="C8" s="3" t="s">
        <v>42</v>
      </c>
      <c r="D8" s="4">
        <f t="shared" si="0"/>
        <v>180</v>
      </c>
      <c r="E8" s="4">
        <f t="shared" si="1"/>
        <v>172</v>
      </c>
      <c r="F8" s="312">
        <v>0</v>
      </c>
      <c r="G8" s="376">
        <v>12</v>
      </c>
      <c r="H8" s="376">
        <v>21</v>
      </c>
      <c r="I8" s="376">
        <v>29</v>
      </c>
      <c r="J8" s="376">
        <v>27</v>
      </c>
      <c r="K8" s="376">
        <v>91</v>
      </c>
      <c r="L8" s="377">
        <v>95</v>
      </c>
      <c r="M8" s="377">
        <v>11</v>
      </c>
      <c r="N8" s="377">
        <v>10</v>
      </c>
      <c r="O8" s="377">
        <v>60</v>
      </c>
      <c r="P8" s="377">
        <v>4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6</v>
      </c>
      <c r="Z8" s="378">
        <v>6</v>
      </c>
      <c r="AA8" s="378">
        <v>14</v>
      </c>
      <c r="AB8" s="378">
        <v>23</v>
      </c>
      <c r="AC8" s="378">
        <v>37</v>
      </c>
      <c r="AD8" s="378">
        <v>38</v>
      </c>
      <c r="AE8" s="378">
        <v>27</v>
      </c>
      <c r="AF8" s="378">
        <v>12</v>
      </c>
      <c r="AG8" s="378">
        <v>13</v>
      </c>
      <c r="AH8" s="378">
        <v>4</v>
      </c>
      <c r="AI8" s="24">
        <f t="shared" si="2"/>
        <v>0</v>
      </c>
      <c r="AJ8" s="24">
        <f t="shared" si="3"/>
        <v>0</v>
      </c>
      <c r="AK8" s="24">
        <f t="shared" si="4"/>
        <v>26</v>
      </c>
      <c r="AL8" s="24">
        <f t="shared" si="5"/>
        <v>125</v>
      </c>
      <c r="AM8" s="24">
        <f t="shared" si="6"/>
        <v>29</v>
      </c>
      <c r="AN8" s="379">
        <v>0</v>
      </c>
      <c r="AO8" s="379">
        <v>0</v>
      </c>
      <c r="AP8" s="379">
        <v>0</v>
      </c>
      <c r="AQ8" s="379">
        <v>0</v>
      </c>
      <c r="AR8" s="379">
        <v>0</v>
      </c>
      <c r="AS8" s="379">
        <v>0</v>
      </c>
      <c r="AT8" s="379">
        <v>0</v>
      </c>
      <c r="AU8" s="379">
        <v>0</v>
      </c>
      <c r="AV8" s="379">
        <v>3</v>
      </c>
      <c r="AW8" s="379">
        <v>8</v>
      </c>
      <c r="AX8" s="379">
        <v>14</v>
      </c>
      <c r="AY8" s="379">
        <v>27</v>
      </c>
      <c r="AZ8" s="379">
        <v>30</v>
      </c>
      <c r="BA8" s="379">
        <v>36</v>
      </c>
      <c r="BB8" s="379">
        <v>20</v>
      </c>
      <c r="BC8" s="379">
        <v>15</v>
      </c>
      <c r="BD8" s="379">
        <v>15</v>
      </c>
      <c r="BE8" s="379">
        <v>4</v>
      </c>
      <c r="BF8" s="93">
        <f t="shared" si="14"/>
        <v>0</v>
      </c>
      <c r="BG8" s="93">
        <f t="shared" si="15"/>
        <v>0</v>
      </c>
      <c r="BH8" s="93">
        <f t="shared" si="16"/>
        <v>25</v>
      </c>
      <c r="BI8" s="93">
        <f t="shared" si="17"/>
        <v>113</v>
      </c>
      <c r="BJ8" s="93">
        <f t="shared" si="18"/>
        <v>34</v>
      </c>
      <c r="BK8" s="380">
        <v>73</v>
      </c>
      <c r="BL8" s="380">
        <v>35</v>
      </c>
      <c r="BM8" s="380">
        <v>19</v>
      </c>
      <c r="BN8" s="380">
        <v>131</v>
      </c>
      <c r="BO8" s="96">
        <v>0.27160575999999997</v>
      </c>
      <c r="BP8" s="96">
        <v>2.6964709999999999E-2</v>
      </c>
      <c r="BQ8" s="5">
        <f t="shared" si="7"/>
        <v>37</v>
      </c>
      <c r="BR8" s="5">
        <f t="shared" si="8"/>
        <v>31</v>
      </c>
      <c r="BS8" s="309">
        <v>0</v>
      </c>
      <c r="BT8" s="381">
        <v>2</v>
      </c>
      <c r="BU8" s="381">
        <v>5</v>
      </c>
      <c r="BV8" s="381">
        <v>5</v>
      </c>
      <c r="BW8" s="381">
        <v>6</v>
      </c>
      <c r="BX8" s="381">
        <v>19</v>
      </c>
      <c r="BY8" s="382">
        <v>14</v>
      </c>
      <c r="BZ8" s="382">
        <v>3</v>
      </c>
      <c r="CA8" s="382">
        <v>3</v>
      </c>
      <c r="CB8" s="382">
        <v>17</v>
      </c>
      <c r="CC8" s="382">
        <v>0</v>
      </c>
      <c r="CD8" s="383">
        <v>0</v>
      </c>
      <c r="CE8" s="383">
        <v>0</v>
      </c>
      <c r="CF8" s="383">
        <v>0</v>
      </c>
      <c r="CG8" s="383">
        <v>0</v>
      </c>
      <c r="CH8" s="383">
        <v>1</v>
      </c>
      <c r="CI8" s="383">
        <v>0</v>
      </c>
      <c r="CJ8" s="383">
        <v>0</v>
      </c>
      <c r="CK8" s="383">
        <v>0</v>
      </c>
      <c r="CL8" s="383">
        <v>1</v>
      </c>
      <c r="CM8" s="383">
        <v>0</v>
      </c>
      <c r="CN8" s="383">
        <v>3</v>
      </c>
      <c r="CO8" s="383">
        <v>7</v>
      </c>
      <c r="CP8" s="383">
        <v>5</v>
      </c>
      <c r="CQ8" s="383">
        <v>3</v>
      </c>
      <c r="CR8" s="383">
        <v>5</v>
      </c>
      <c r="CS8" s="383">
        <v>1</v>
      </c>
      <c r="CT8" s="383">
        <v>5</v>
      </c>
      <c r="CU8" s="383">
        <v>6</v>
      </c>
      <c r="CV8" s="25">
        <f t="shared" si="9"/>
        <v>0</v>
      </c>
      <c r="CW8" s="25">
        <f t="shared" si="10"/>
        <v>1</v>
      </c>
      <c r="CX8" s="25">
        <f t="shared" si="11"/>
        <v>4</v>
      </c>
      <c r="CY8" s="25">
        <f t="shared" si="12"/>
        <v>20</v>
      </c>
      <c r="CZ8" s="25">
        <f t="shared" si="13"/>
        <v>12</v>
      </c>
      <c r="DA8" s="384">
        <v>0</v>
      </c>
      <c r="DB8" s="384">
        <v>0</v>
      </c>
      <c r="DC8" s="384">
        <v>0</v>
      </c>
      <c r="DD8" s="384">
        <v>0</v>
      </c>
      <c r="DE8" s="384">
        <v>0</v>
      </c>
      <c r="DF8" s="384">
        <v>0</v>
      </c>
      <c r="DG8" s="384">
        <v>0</v>
      </c>
      <c r="DH8" s="384">
        <v>0</v>
      </c>
      <c r="DI8" s="384">
        <v>1</v>
      </c>
      <c r="DJ8" s="384">
        <v>0</v>
      </c>
      <c r="DK8" s="384">
        <v>2</v>
      </c>
      <c r="DL8" s="384">
        <v>6</v>
      </c>
      <c r="DM8" s="384">
        <v>3</v>
      </c>
      <c r="DN8" s="384">
        <v>3</v>
      </c>
      <c r="DO8" s="384">
        <v>4</v>
      </c>
      <c r="DP8" s="384">
        <v>1</v>
      </c>
      <c r="DQ8" s="384">
        <v>5</v>
      </c>
      <c r="DR8" s="384">
        <v>6</v>
      </c>
      <c r="DS8" s="94">
        <f t="shared" si="19"/>
        <v>0</v>
      </c>
      <c r="DT8" s="94">
        <f t="shared" si="20"/>
        <v>0</v>
      </c>
      <c r="DU8" s="94">
        <f t="shared" si="21"/>
        <v>3</v>
      </c>
      <c r="DV8" s="94">
        <f t="shared" si="22"/>
        <v>16</v>
      </c>
      <c r="DW8" s="94">
        <f t="shared" si="23"/>
        <v>12</v>
      </c>
      <c r="DX8" s="385">
        <v>31</v>
      </c>
      <c r="DY8" s="385">
        <v>22</v>
      </c>
      <c r="DZ8" s="385">
        <v>11</v>
      </c>
      <c r="EA8" s="385">
        <v>41</v>
      </c>
      <c r="EB8" s="96">
        <v>0.23143166000000001</v>
      </c>
      <c r="EC8" s="96">
        <v>5.9055410000000003E-2</v>
      </c>
    </row>
    <row r="9" spans="1:133" ht="12.95" customHeight="1">
      <c r="A9" s="2">
        <v>6</v>
      </c>
      <c r="B9" s="3" t="s">
        <v>43</v>
      </c>
      <c r="C9" s="3" t="s">
        <v>44</v>
      </c>
      <c r="D9" s="4">
        <f t="shared" si="0"/>
        <v>491</v>
      </c>
      <c r="E9" s="4">
        <f t="shared" si="1"/>
        <v>413</v>
      </c>
      <c r="F9" s="312">
        <v>0</v>
      </c>
      <c r="G9" s="376">
        <v>51</v>
      </c>
      <c r="H9" s="376">
        <v>47</v>
      </c>
      <c r="I9" s="376">
        <v>62</v>
      </c>
      <c r="J9" s="376">
        <v>108</v>
      </c>
      <c r="K9" s="376">
        <v>223</v>
      </c>
      <c r="L9" s="377">
        <v>319</v>
      </c>
      <c r="M9" s="377">
        <v>3</v>
      </c>
      <c r="N9" s="377">
        <v>24</v>
      </c>
      <c r="O9" s="377">
        <v>138</v>
      </c>
      <c r="P9" s="377">
        <v>7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1</v>
      </c>
      <c r="W9" s="378">
        <v>0</v>
      </c>
      <c r="X9" s="378">
        <v>4</v>
      </c>
      <c r="Y9" s="378">
        <v>12</v>
      </c>
      <c r="Z9" s="378">
        <v>17</v>
      </c>
      <c r="AA9" s="378">
        <v>37</v>
      </c>
      <c r="AB9" s="378">
        <v>45</v>
      </c>
      <c r="AC9" s="378">
        <v>60</v>
      </c>
      <c r="AD9" s="378">
        <v>61</v>
      </c>
      <c r="AE9" s="378">
        <v>73</v>
      </c>
      <c r="AF9" s="378">
        <v>93</v>
      </c>
      <c r="AG9" s="378">
        <v>49</v>
      </c>
      <c r="AH9" s="378">
        <v>39</v>
      </c>
      <c r="AI9" s="24">
        <f t="shared" si="2"/>
        <v>0</v>
      </c>
      <c r="AJ9" s="24">
        <f t="shared" si="3"/>
        <v>1</v>
      </c>
      <c r="AK9" s="24">
        <f t="shared" si="4"/>
        <v>70</v>
      </c>
      <c r="AL9" s="24">
        <f t="shared" si="5"/>
        <v>239</v>
      </c>
      <c r="AM9" s="24">
        <f t="shared" si="6"/>
        <v>181</v>
      </c>
      <c r="AN9" s="379">
        <v>0</v>
      </c>
      <c r="AO9" s="379">
        <v>0</v>
      </c>
      <c r="AP9" s="379">
        <v>0</v>
      </c>
      <c r="AQ9" s="379">
        <v>0</v>
      </c>
      <c r="AR9" s="379">
        <v>0</v>
      </c>
      <c r="AS9" s="379">
        <v>0</v>
      </c>
      <c r="AT9" s="379">
        <v>0</v>
      </c>
      <c r="AU9" s="379">
        <v>1</v>
      </c>
      <c r="AV9" s="379">
        <v>7</v>
      </c>
      <c r="AW9" s="379">
        <v>13</v>
      </c>
      <c r="AX9" s="379">
        <v>30</v>
      </c>
      <c r="AY9" s="379">
        <v>28</v>
      </c>
      <c r="AZ9" s="379">
        <v>46</v>
      </c>
      <c r="BA9" s="379">
        <v>51</v>
      </c>
      <c r="BB9" s="379">
        <v>63</v>
      </c>
      <c r="BC9" s="379">
        <v>82</v>
      </c>
      <c r="BD9" s="379">
        <v>54</v>
      </c>
      <c r="BE9" s="379">
        <v>38</v>
      </c>
      <c r="BF9" s="93">
        <f t="shared" si="14"/>
        <v>0</v>
      </c>
      <c r="BG9" s="93">
        <f t="shared" si="15"/>
        <v>0</v>
      </c>
      <c r="BH9" s="93">
        <f t="shared" si="16"/>
        <v>51</v>
      </c>
      <c r="BI9" s="93">
        <f t="shared" si="17"/>
        <v>188</v>
      </c>
      <c r="BJ9" s="93">
        <f t="shared" si="18"/>
        <v>174</v>
      </c>
      <c r="BK9" s="380">
        <v>1286</v>
      </c>
      <c r="BL9" s="380">
        <v>859</v>
      </c>
      <c r="BM9" s="380">
        <v>539</v>
      </c>
      <c r="BN9" s="380">
        <v>1471</v>
      </c>
      <c r="BO9" s="96">
        <v>0.42105990999999998</v>
      </c>
      <c r="BP9" s="96">
        <v>0.23263617</v>
      </c>
      <c r="BQ9" s="5">
        <f t="shared" si="7"/>
        <v>315</v>
      </c>
      <c r="BR9" s="5">
        <f t="shared" si="8"/>
        <v>268</v>
      </c>
      <c r="BS9" s="309">
        <v>0</v>
      </c>
      <c r="BT9" s="381">
        <v>30</v>
      </c>
      <c r="BU9" s="381">
        <v>27</v>
      </c>
      <c r="BV9" s="381">
        <v>35</v>
      </c>
      <c r="BW9" s="381">
        <v>59</v>
      </c>
      <c r="BX9" s="381">
        <v>164</v>
      </c>
      <c r="BY9" s="382">
        <v>204</v>
      </c>
      <c r="BZ9" s="382">
        <v>4</v>
      </c>
      <c r="CA9" s="382">
        <v>9</v>
      </c>
      <c r="CB9" s="382">
        <v>85</v>
      </c>
      <c r="CC9" s="382">
        <v>13</v>
      </c>
      <c r="CD9" s="383">
        <v>0</v>
      </c>
      <c r="CE9" s="383">
        <v>0</v>
      </c>
      <c r="CF9" s="383">
        <v>0</v>
      </c>
      <c r="CG9" s="383">
        <v>0</v>
      </c>
      <c r="CH9" s="383">
        <v>0</v>
      </c>
      <c r="CI9" s="383">
        <v>1</v>
      </c>
      <c r="CJ9" s="383">
        <v>2</v>
      </c>
      <c r="CK9" s="383">
        <v>6</v>
      </c>
      <c r="CL9" s="383">
        <v>5</v>
      </c>
      <c r="CM9" s="383">
        <v>8</v>
      </c>
      <c r="CN9" s="383">
        <v>16</v>
      </c>
      <c r="CO9" s="383">
        <v>25</v>
      </c>
      <c r="CP9" s="383">
        <v>33</v>
      </c>
      <c r="CQ9" s="383">
        <v>27</v>
      </c>
      <c r="CR9" s="383">
        <v>40</v>
      </c>
      <c r="CS9" s="383">
        <v>50</v>
      </c>
      <c r="CT9" s="383">
        <v>56</v>
      </c>
      <c r="CU9" s="383">
        <v>46</v>
      </c>
      <c r="CV9" s="25">
        <f t="shared" si="9"/>
        <v>0</v>
      </c>
      <c r="CW9" s="25">
        <f t="shared" si="10"/>
        <v>1</v>
      </c>
      <c r="CX9" s="25">
        <f t="shared" si="11"/>
        <v>37</v>
      </c>
      <c r="CY9" s="25">
        <f t="shared" si="12"/>
        <v>125</v>
      </c>
      <c r="CZ9" s="25">
        <f t="shared" si="13"/>
        <v>152</v>
      </c>
      <c r="DA9" s="384">
        <v>0</v>
      </c>
      <c r="DB9" s="384">
        <v>0</v>
      </c>
      <c r="DC9" s="384">
        <v>0</v>
      </c>
      <c r="DD9" s="384">
        <v>0</v>
      </c>
      <c r="DE9" s="384">
        <v>0</v>
      </c>
      <c r="DF9" s="384">
        <v>0</v>
      </c>
      <c r="DG9" s="384">
        <v>3</v>
      </c>
      <c r="DH9" s="384">
        <v>5</v>
      </c>
      <c r="DI9" s="384">
        <v>5</v>
      </c>
      <c r="DJ9" s="384">
        <v>8</v>
      </c>
      <c r="DK9" s="384">
        <v>15</v>
      </c>
      <c r="DL9" s="384">
        <v>18</v>
      </c>
      <c r="DM9" s="384">
        <v>27</v>
      </c>
      <c r="DN9" s="384">
        <v>30</v>
      </c>
      <c r="DO9" s="384">
        <v>19</v>
      </c>
      <c r="DP9" s="384">
        <v>38</v>
      </c>
      <c r="DQ9" s="384">
        <v>52</v>
      </c>
      <c r="DR9" s="384">
        <v>48</v>
      </c>
      <c r="DS9" s="94">
        <f t="shared" si="19"/>
        <v>0</v>
      </c>
      <c r="DT9" s="94">
        <f t="shared" si="20"/>
        <v>0</v>
      </c>
      <c r="DU9" s="94">
        <f t="shared" si="21"/>
        <v>36</v>
      </c>
      <c r="DV9" s="94">
        <f t="shared" si="22"/>
        <v>94</v>
      </c>
      <c r="DW9" s="94">
        <f t="shared" si="23"/>
        <v>138</v>
      </c>
      <c r="DX9" s="385">
        <v>1248</v>
      </c>
      <c r="DY9" s="385">
        <v>902</v>
      </c>
      <c r="DZ9" s="385">
        <v>585</v>
      </c>
      <c r="EA9" s="385">
        <v>1375</v>
      </c>
      <c r="EB9" s="96">
        <v>0.48311809</v>
      </c>
      <c r="EC9" s="96">
        <v>0.23912783000000001</v>
      </c>
    </row>
    <row r="10" spans="1:133" ht="12.95" customHeight="1">
      <c r="A10" s="12">
        <v>7</v>
      </c>
      <c r="B10" s="3" t="s">
        <v>45</v>
      </c>
      <c r="C10" s="3" t="s">
        <v>46</v>
      </c>
      <c r="D10" s="4">
        <f t="shared" si="0"/>
        <v>421</v>
      </c>
      <c r="E10" s="4">
        <f t="shared" si="1"/>
        <v>257</v>
      </c>
      <c r="F10" s="312">
        <v>0</v>
      </c>
      <c r="G10" s="376">
        <v>50</v>
      </c>
      <c r="H10" s="376">
        <v>99</v>
      </c>
      <c r="I10" s="376">
        <v>88</v>
      </c>
      <c r="J10" s="376">
        <v>73</v>
      </c>
      <c r="K10" s="376">
        <v>111</v>
      </c>
      <c r="L10" s="377">
        <v>326</v>
      </c>
      <c r="M10" s="377">
        <v>0</v>
      </c>
      <c r="N10" s="377">
        <v>12</v>
      </c>
      <c r="O10" s="377">
        <v>78</v>
      </c>
      <c r="P10" s="377">
        <v>5</v>
      </c>
      <c r="Q10" s="378">
        <v>0</v>
      </c>
      <c r="R10" s="378">
        <v>0</v>
      </c>
      <c r="S10" s="378">
        <v>0</v>
      </c>
      <c r="T10" s="378">
        <v>0</v>
      </c>
      <c r="U10" s="378">
        <v>2</v>
      </c>
      <c r="V10" s="378">
        <v>1</v>
      </c>
      <c r="W10" s="378">
        <v>3</v>
      </c>
      <c r="X10" s="378">
        <v>5</v>
      </c>
      <c r="Y10" s="378">
        <v>4</v>
      </c>
      <c r="Z10" s="378">
        <v>6</v>
      </c>
      <c r="AA10" s="378">
        <v>16</v>
      </c>
      <c r="AB10" s="378">
        <v>36</v>
      </c>
      <c r="AC10" s="378">
        <v>46</v>
      </c>
      <c r="AD10" s="378">
        <v>77</v>
      </c>
      <c r="AE10" s="378">
        <v>81</v>
      </c>
      <c r="AF10" s="378">
        <v>66</v>
      </c>
      <c r="AG10" s="378">
        <v>49</v>
      </c>
      <c r="AH10" s="378">
        <v>29</v>
      </c>
      <c r="AI10" s="24">
        <f t="shared" si="2"/>
        <v>0</v>
      </c>
      <c r="AJ10" s="24">
        <f t="shared" si="3"/>
        <v>3</v>
      </c>
      <c r="AK10" s="24">
        <f t="shared" si="4"/>
        <v>34</v>
      </c>
      <c r="AL10" s="24">
        <f t="shared" si="5"/>
        <v>240</v>
      </c>
      <c r="AM10" s="24">
        <f t="shared" si="6"/>
        <v>144</v>
      </c>
      <c r="AN10" s="379">
        <v>0</v>
      </c>
      <c r="AO10" s="379">
        <v>0</v>
      </c>
      <c r="AP10" s="379">
        <v>0</v>
      </c>
      <c r="AQ10" s="379">
        <v>0</v>
      </c>
      <c r="AR10" s="379">
        <v>1</v>
      </c>
      <c r="AS10" s="379">
        <v>0</v>
      </c>
      <c r="AT10" s="379">
        <v>0</v>
      </c>
      <c r="AU10" s="379">
        <v>1</v>
      </c>
      <c r="AV10" s="379">
        <v>0</v>
      </c>
      <c r="AW10" s="379">
        <v>2</v>
      </c>
      <c r="AX10" s="379">
        <v>8</v>
      </c>
      <c r="AY10" s="379">
        <v>19</v>
      </c>
      <c r="AZ10" s="379">
        <v>14</v>
      </c>
      <c r="BA10" s="379">
        <v>35</v>
      </c>
      <c r="BB10" s="379">
        <v>44</v>
      </c>
      <c r="BC10" s="379">
        <v>59</v>
      </c>
      <c r="BD10" s="379">
        <v>45</v>
      </c>
      <c r="BE10" s="379">
        <v>29</v>
      </c>
      <c r="BF10" s="93">
        <f t="shared" si="14"/>
        <v>0</v>
      </c>
      <c r="BG10" s="93">
        <f t="shared" si="15"/>
        <v>1</v>
      </c>
      <c r="BH10" s="93">
        <f t="shared" si="16"/>
        <v>11</v>
      </c>
      <c r="BI10" s="93">
        <f t="shared" si="17"/>
        <v>112</v>
      </c>
      <c r="BJ10" s="93">
        <f t="shared" si="18"/>
        <v>133</v>
      </c>
      <c r="BK10" s="380">
        <v>1739</v>
      </c>
      <c r="BL10" s="380">
        <v>1088</v>
      </c>
      <c r="BM10" s="380">
        <v>551</v>
      </c>
      <c r="BN10" s="380">
        <v>1959</v>
      </c>
      <c r="BO10" s="96">
        <v>0.74532533000000001</v>
      </c>
      <c r="BP10" s="96">
        <v>0.56828498999999999</v>
      </c>
      <c r="BQ10" s="5">
        <f t="shared" si="7"/>
        <v>454</v>
      </c>
      <c r="BR10" s="5">
        <f t="shared" si="8"/>
        <v>285</v>
      </c>
      <c r="BS10" s="309">
        <v>0</v>
      </c>
      <c r="BT10" s="381">
        <v>55</v>
      </c>
      <c r="BU10" s="381">
        <v>96</v>
      </c>
      <c r="BV10" s="381">
        <v>105</v>
      </c>
      <c r="BW10" s="381">
        <v>74</v>
      </c>
      <c r="BX10" s="381">
        <v>124</v>
      </c>
      <c r="BY10" s="382">
        <v>333</v>
      </c>
      <c r="BZ10" s="382">
        <v>1</v>
      </c>
      <c r="CA10" s="382">
        <v>25</v>
      </c>
      <c r="CB10" s="382">
        <v>85</v>
      </c>
      <c r="CC10" s="382">
        <v>10</v>
      </c>
      <c r="CD10" s="383">
        <v>0</v>
      </c>
      <c r="CE10" s="383">
        <v>0</v>
      </c>
      <c r="CF10" s="383">
        <v>0</v>
      </c>
      <c r="CG10" s="383">
        <v>0</v>
      </c>
      <c r="CH10" s="383">
        <v>0</v>
      </c>
      <c r="CI10" s="383">
        <v>0</v>
      </c>
      <c r="CJ10" s="383">
        <v>1</v>
      </c>
      <c r="CK10" s="383">
        <v>3</v>
      </c>
      <c r="CL10" s="383">
        <v>3</v>
      </c>
      <c r="CM10" s="383">
        <v>8</v>
      </c>
      <c r="CN10" s="383">
        <v>23</v>
      </c>
      <c r="CO10" s="383">
        <v>38</v>
      </c>
      <c r="CP10" s="383">
        <v>42</v>
      </c>
      <c r="CQ10" s="383">
        <v>60</v>
      </c>
      <c r="CR10" s="383">
        <v>69</v>
      </c>
      <c r="CS10" s="383">
        <v>66</v>
      </c>
      <c r="CT10" s="383">
        <v>81</v>
      </c>
      <c r="CU10" s="383">
        <v>60</v>
      </c>
      <c r="CV10" s="25">
        <f t="shared" si="9"/>
        <v>0</v>
      </c>
      <c r="CW10" s="25">
        <f t="shared" si="10"/>
        <v>0</v>
      </c>
      <c r="CX10" s="25">
        <f t="shared" si="11"/>
        <v>38</v>
      </c>
      <c r="CY10" s="25">
        <f t="shared" si="12"/>
        <v>209</v>
      </c>
      <c r="CZ10" s="25">
        <f t="shared" si="13"/>
        <v>207</v>
      </c>
      <c r="DA10" s="384">
        <v>0</v>
      </c>
      <c r="DB10" s="384">
        <v>0</v>
      </c>
      <c r="DC10" s="384">
        <v>0</v>
      </c>
      <c r="DD10" s="384">
        <v>0</v>
      </c>
      <c r="DE10" s="384">
        <v>0</v>
      </c>
      <c r="DF10" s="384">
        <v>0</v>
      </c>
      <c r="DG10" s="384">
        <v>0</v>
      </c>
      <c r="DH10" s="384">
        <v>0</v>
      </c>
      <c r="DI10" s="384">
        <v>2</v>
      </c>
      <c r="DJ10" s="384">
        <v>4</v>
      </c>
      <c r="DK10" s="384">
        <v>8</v>
      </c>
      <c r="DL10" s="384">
        <v>9</v>
      </c>
      <c r="DM10" s="384">
        <v>14</v>
      </c>
      <c r="DN10" s="384">
        <v>33</v>
      </c>
      <c r="DO10" s="384">
        <v>48</v>
      </c>
      <c r="DP10" s="384">
        <v>48</v>
      </c>
      <c r="DQ10" s="384">
        <v>61</v>
      </c>
      <c r="DR10" s="384">
        <v>58</v>
      </c>
      <c r="DS10" s="94">
        <f t="shared" si="19"/>
        <v>0</v>
      </c>
      <c r="DT10" s="94">
        <f t="shared" si="20"/>
        <v>0</v>
      </c>
      <c r="DU10" s="94">
        <f t="shared" si="21"/>
        <v>14</v>
      </c>
      <c r="DV10" s="94">
        <f t="shared" si="22"/>
        <v>104</v>
      </c>
      <c r="DW10" s="94">
        <f t="shared" si="23"/>
        <v>167</v>
      </c>
      <c r="DX10" s="385">
        <v>2455</v>
      </c>
      <c r="DY10" s="385">
        <v>1595</v>
      </c>
      <c r="DZ10" s="385">
        <v>926</v>
      </c>
      <c r="EA10" s="385">
        <v>2698</v>
      </c>
      <c r="EB10" s="96">
        <v>0.68532740999999997</v>
      </c>
      <c r="EC10" s="96">
        <v>0.45916128</v>
      </c>
    </row>
    <row r="11" spans="1:133" ht="12.95" customHeight="1">
      <c r="A11" s="2">
        <v>8</v>
      </c>
      <c r="B11" s="3" t="s">
        <v>47</v>
      </c>
      <c r="C11" s="3" t="s">
        <v>48</v>
      </c>
      <c r="D11" s="4">
        <f t="shared" si="0"/>
        <v>343</v>
      </c>
      <c r="E11" s="4">
        <f t="shared" si="1"/>
        <v>252</v>
      </c>
      <c r="F11" s="312">
        <v>0</v>
      </c>
      <c r="G11" s="376">
        <v>43</v>
      </c>
      <c r="H11" s="376">
        <v>66</v>
      </c>
      <c r="I11" s="376">
        <v>86</v>
      </c>
      <c r="J11" s="376">
        <v>49</v>
      </c>
      <c r="K11" s="376">
        <v>99</v>
      </c>
      <c r="L11" s="377">
        <v>251</v>
      </c>
      <c r="M11" s="377">
        <v>3</v>
      </c>
      <c r="N11" s="377">
        <v>13</v>
      </c>
      <c r="O11" s="377">
        <v>68</v>
      </c>
      <c r="P11" s="377">
        <v>9</v>
      </c>
      <c r="Q11" s="378">
        <v>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2</v>
      </c>
      <c r="Z11" s="378">
        <v>11</v>
      </c>
      <c r="AA11" s="378">
        <v>13</v>
      </c>
      <c r="AB11" s="378">
        <v>35</v>
      </c>
      <c r="AC11" s="378">
        <v>44</v>
      </c>
      <c r="AD11" s="378">
        <v>53</v>
      </c>
      <c r="AE11" s="378">
        <v>68</v>
      </c>
      <c r="AF11" s="378">
        <v>50</v>
      </c>
      <c r="AG11" s="378">
        <v>44</v>
      </c>
      <c r="AH11" s="378">
        <v>23</v>
      </c>
      <c r="AI11" s="24">
        <f t="shared" si="2"/>
        <v>0</v>
      </c>
      <c r="AJ11" s="24">
        <f t="shared" si="3"/>
        <v>0</v>
      </c>
      <c r="AK11" s="24">
        <f t="shared" si="4"/>
        <v>26</v>
      </c>
      <c r="AL11" s="24">
        <f t="shared" si="5"/>
        <v>200</v>
      </c>
      <c r="AM11" s="24">
        <f t="shared" si="6"/>
        <v>117</v>
      </c>
      <c r="AN11" s="379">
        <v>0</v>
      </c>
      <c r="AO11" s="379">
        <v>0</v>
      </c>
      <c r="AP11" s="379">
        <v>0</v>
      </c>
      <c r="AQ11" s="379">
        <v>0</v>
      </c>
      <c r="AR11" s="379">
        <v>0</v>
      </c>
      <c r="AS11" s="379">
        <v>0</v>
      </c>
      <c r="AT11" s="379">
        <v>1</v>
      </c>
      <c r="AU11" s="379">
        <v>0</v>
      </c>
      <c r="AV11" s="379">
        <v>3</v>
      </c>
      <c r="AW11" s="379">
        <v>7</v>
      </c>
      <c r="AX11" s="379">
        <v>9</v>
      </c>
      <c r="AY11" s="379">
        <v>18</v>
      </c>
      <c r="AZ11" s="379">
        <v>33</v>
      </c>
      <c r="BA11" s="379">
        <v>25</v>
      </c>
      <c r="BB11" s="379">
        <v>42</v>
      </c>
      <c r="BC11" s="379">
        <v>50</v>
      </c>
      <c r="BD11" s="379">
        <v>37</v>
      </c>
      <c r="BE11" s="379">
        <v>27</v>
      </c>
      <c r="BF11" s="93">
        <f t="shared" si="14"/>
        <v>0</v>
      </c>
      <c r="BG11" s="93">
        <f t="shared" si="15"/>
        <v>0</v>
      </c>
      <c r="BH11" s="93">
        <f t="shared" si="16"/>
        <v>20</v>
      </c>
      <c r="BI11" s="93">
        <f t="shared" si="17"/>
        <v>118</v>
      </c>
      <c r="BJ11" s="93">
        <f t="shared" si="18"/>
        <v>114</v>
      </c>
      <c r="BK11" s="380">
        <v>1566</v>
      </c>
      <c r="BL11" s="380">
        <v>1009</v>
      </c>
      <c r="BM11" s="380">
        <v>482</v>
      </c>
      <c r="BN11" s="380">
        <v>1750</v>
      </c>
      <c r="BO11" s="96">
        <v>0.72991782000000005</v>
      </c>
      <c r="BP11" s="96">
        <v>0.45343238000000002</v>
      </c>
      <c r="BQ11" s="5">
        <f t="shared" si="7"/>
        <v>278</v>
      </c>
      <c r="BR11" s="5">
        <f t="shared" si="8"/>
        <v>188</v>
      </c>
      <c r="BS11" s="309">
        <v>0</v>
      </c>
      <c r="BT11" s="381">
        <v>30</v>
      </c>
      <c r="BU11" s="381">
        <v>57</v>
      </c>
      <c r="BV11" s="381">
        <v>85</v>
      </c>
      <c r="BW11" s="381">
        <v>38</v>
      </c>
      <c r="BX11" s="381">
        <v>68</v>
      </c>
      <c r="BY11" s="382">
        <v>212</v>
      </c>
      <c r="BZ11" s="382">
        <v>1</v>
      </c>
      <c r="CA11" s="382">
        <v>13</v>
      </c>
      <c r="CB11" s="382">
        <v>49</v>
      </c>
      <c r="CC11" s="382">
        <v>3</v>
      </c>
      <c r="CD11" s="383">
        <v>0</v>
      </c>
      <c r="CE11" s="383">
        <v>0</v>
      </c>
      <c r="CF11" s="383">
        <v>0</v>
      </c>
      <c r="CG11" s="383">
        <v>0</v>
      </c>
      <c r="CH11" s="383">
        <v>0</v>
      </c>
      <c r="CI11" s="383">
        <v>1</v>
      </c>
      <c r="CJ11" s="383">
        <v>3</v>
      </c>
      <c r="CK11" s="383">
        <v>2</v>
      </c>
      <c r="CL11" s="383">
        <v>1</v>
      </c>
      <c r="CM11" s="383">
        <v>13</v>
      </c>
      <c r="CN11" s="383">
        <v>17</v>
      </c>
      <c r="CO11" s="383">
        <v>25</v>
      </c>
      <c r="CP11" s="383">
        <v>33</v>
      </c>
      <c r="CQ11" s="383">
        <v>41</v>
      </c>
      <c r="CR11" s="383">
        <v>32</v>
      </c>
      <c r="CS11" s="383">
        <v>42</v>
      </c>
      <c r="CT11" s="383">
        <v>36</v>
      </c>
      <c r="CU11" s="383">
        <v>32</v>
      </c>
      <c r="CV11" s="25">
        <f t="shared" si="9"/>
        <v>0</v>
      </c>
      <c r="CW11" s="25">
        <f t="shared" si="10"/>
        <v>1</v>
      </c>
      <c r="CX11" s="25">
        <f t="shared" si="11"/>
        <v>36</v>
      </c>
      <c r="CY11" s="25">
        <f t="shared" si="12"/>
        <v>131</v>
      </c>
      <c r="CZ11" s="25">
        <f t="shared" si="13"/>
        <v>110</v>
      </c>
      <c r="DA11" s="384">
        <v>0</v>
      </c>
      <c r="DB11" s="384">
        <v>0</v>
      </c>
      <c r="DC11" s="384">
        <v>0</v>
      </c>
      <c r="DD11" s="384">
        <v>0</v>
      </c>
      <c r="DE11" s="384">
        <v>0</v>
      </c>
      <c r="DF11" s="384">
        <v>0</v>
      </c>
      <c r="DG11" s="384">
        <v>0</v>
      </c>
      <c r="DH11" s="384">
        <v>1</v>
      </c>
      <c r="DI11" s="384">
        <v>0</v>
      </c>
      <c r="DJ11" s="384">
        <v>4</v>
      </c>
      <c r="DK11" s="384">
        <v>10</v>
      </c>
      <c r="DL11" s="384">
        <v>11</v>
      </c>
      <c r="DM11" s="384">
        <v>23</v>
      </c>
      <c r="DN11" s="384">
        <v>19</v>
      </c>
      <c r="DO11" s="384">
        <v>20</v>
      </c>
      <c r="DP11" s="384">
        <v>36</v>
      </c>
      <c r="DQ11" s="384">
        <v>29</v>
      </c>
      <c r="DR11" s="384">
        <v>35</v>
      </c>
      <c r="DS11" s="94">
        <f t="shared" si="19"/>
        <v>0</v>
      </c>
      <c r="DT11" s="94">
        <f t="shared" si="20"/>
        <v>0</v>
      </c>
      <c r="DU11" s="94">
        <f t="shared" si="21"/>
        <v>15</v>
      </c>
      <c r="DV11" s="94">
        <f t="shared" si="22"/>
        <v>73</v>
      </c>
      <c r="DW11" s="94">
        <f t="shared" si="23"/>
        <v>100</v>
      </c>
      <c r="DX11" s="385">
        <v>1883</v>
      </c>
      <c r="DY11" s="385">
        <v>1277</v>
      </c>
      <c r="DZ11" s="385">
        <v>701</v>
      </c>
      <c r="EA11" s="385">
        <v>2045</v>
      </c>
      <c r="EB11" s="96">
        <v>0.72838533000000005</v>
      </c>
      <c r="EC11" s="96">
        <v>0.45729834000000003</v>
      </c>
    </row>
    <row r="12" spans="1:133" ht="12.95" customHeight="1">
      <c r="A12" s="12">
        <v>9</v>
      </c>
      <c r="B12" s="3" t="s">
        <v>49</v>
      </c>
      <c r="C12" s="3" t="s">
        <v>50</v>
      </c>
      <c r="D12" s="4">
        <f t="shared" si="0"/>
        <v>142</v>
      </c>
      <c r="E12" s="4">
        <f t="shared" si="1"/>
        <v>125</v>
      </c>
      <c r="F12" s="312">
        <v>0</v>
      </c>
      <c r="G12" s="376">
        <v>5</v>
      </c>
      <c r="H12" s="376">
        <v>15</v>
      </c>
      <c r="I12" s="376">
        <v>10</v>
      </c>
      <c r="J12" s="376">
        <v>35</v>
      </c>
      <c r="K12" s="376">
        <v>77</v>
      </c>
      <c r="L12" s="377">
        <v>61</v>
      </c>
      <c r="M12" s="377">
        <v>1</v>
      </c>
      <c r="N12" s="377">
        <v>24</v>
      </c>
      <c r="O12" s="377">
        <v>54</v>
      </c>
      <c r="P12" s="377">
        <v>2</v>
      </c>
      <c r="Q12" s="378">
        <v>1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1</v>
      </c>
      <c r="X12" s="378">
        <v>0</v>
      </c>
      <c r="Y12" s="378">
        <v>4</v>
      </c>
      <c r="Z12" s="378">
        <v>7</v>
      </c>
      <c r="AA12" s="378">
        <v>15</v>
      </c>
      <c r="AB12" s="378">
        <v>18</v>
      </c>
      <c r="AC12" s="378">
        <v>20</v>
      </c>
      <c r="AD12" s="378">
        <v>29</v>
      </c>
      <c r="AE12" s="378">
        <v>10</v>
      </c>
      <c r="AF12" s="378">
        <v>22</v>
      </c>
      <c r="AG12" s="378">
        <v>7</v>
      </c>
      <c r="AH12" s="378">
        <v>8</v>
      </c>
      <c r="AI12" s="24">
        <f t="shared" si="2"/>
        <v>1</v>
      </c>
      <c r="AJ12" s="24">
        <f t="shared" si="3"/>
        <v>0</v>
      </c>
      <c r="AK12" s="24">
        <f t="shared" si="4"/>
        <v>27</v>
      </c>
      <c r="AL12" s="24">
        <f t="shared" si="5"/>
        <v>77</v>
      </c>
      <c r="AM12" s="24">
        <f t="shared" si="6"/>
        <v>37</v>
      </c>
      <c r="AN12" s="379">
        <v>0</v>
      </c>
      <c r="AO12" s="379">
        <v>0</v>
      </c>
      <c r="AP12" s="379">
        <v>0</v>
      </c>
      <c r="AQ12" s="379">
        <v>0</v>
      </c>
      <c r="AR12" s="379">
        <v>0</v>
      </c>
      <c r="AS12" s="379">
        <v>0</v>
      </c>
      <c r="AT12" s="379">
        <v>2</v>
      </c>
      <c r="AU12" s="379">
        <v>0</v>
      </c>
      <c r="AV12" s="379">
        <v>2</v>
      </c>
      <c r="AW12" s="379">
        <v>1</v>
      </c>
      <c r="AX12" s="379">
        <v>15</v>
      </c>
      <c r="AY12" s="379">
        <v>10</v>
      </c>
      <c r="AZ12" s="379">
        <v>18</v>
      </c>
      <c r="BA12" s="379">
        <v>25</v>
      </c>
      <c r="BB12" s="379">
        <v>14</v>
      </c>
      <c r="BC12" s="379">
        <v>20</v>
      </c>
      <c r="BD12" s="379">
        <v>10</v>
      </c>
      <c r="BE12" s="379">
        <v>8</v>
      </c>
      <c r="BF12" s="93">
        <f t="shared" si="14"/>
        <v>0</v>
      </c>
      <c r="BG12" s="93">
        <f t="shared" si="15"/>
        <v>0</v>
      </c>
      <c r="BH12" s="93">
        <f t="shared" si="16"/>
        <v>20</v>
      </c>
      <c r="BI12" s="93">
        <f t="shared" si="17"/>
        <v>67</v>
      </c>
      <c r="BJ12" s="93">
        <f t="shared" si="18"/>
        <v>38</v>
      </c>
      <c r="BK12" s="380">
        <v>84</v>
      </c>
      <c r="BL12" s="380">
        <v>36</v>
      </c>
      <c r="BM12" s="380">
        <v>12</v>
      </c>
      <c r="BN12" s="380">
        <v>130</v>
      </c>
      <c r="BO12" s="96">
        <v>0.37021214000000002</v>
      </c>
      <c r="BP12" s="96">
        <v>0.12945934000000001</v>
      </c>
      <c r="BQ12" s="5">
        <f t="shared" si="7"/>
        <v>98</v>
      </c>
      <c r="BR12" s="5">
        <f t="shared" si="8"/>
        <v>85</v>
      </c>
      <c r="BS12" s="309">
        <v>0</v>
      </c>
      <c r="BT12" s="381">
        <v>3</v>
      </c>
      <c r="BU12" s="381">
        <v>9</v>
      </c>
      <c r="BV12" s="381">
        <v>8</v>
      </c>
      <c r="BW12" s="381">
        <v>29</v>
      </c>
      <c r="BX12" s="381">
        <v>49</v>
      </c>
      <c r="BY12" s="382">
        <v>42</v>
      </c>
      <c r="BZ12" s="382">
        <v>0</v>
      </c>
      <c r="CA12" s="382">
        <v>19</v>
      </c>
      <c r="CB12" s="382">
        <v>36</v>
      </c>
      <c r="CC12" s="382">
        <v>1</v>
      </c>
      <c r="CD12" s="383">
        <v>0</v>
      </c>
      <c r="CE12" s="383">
        <v>0</v>
      </c>
      <c r="CF12" s="383">
        <v>0</v>
      </c>
      <c r="CG12" s="383">
        <v>0</v>
      </c>
      <c r="CH12" s="383">
        <v>1</v>
      </c>
      <c r="CI12" s="383">
        <v>0</v>
      </c>
      <c r="CJ12" s="383">
        <v>0</v>
      </c>
      <c r="CK12" s="383">
        <v>0</v>
      </c>
      <c r="CL12" s="383">
        <v>1</v>
      </c>
      <c r="CM12" s="383">
        <v>4</v>
      </c>
      <c r="CN12" s="383">
        <v>6</v>
      </c>
      <c r="CO12" s="383">
        <v>8</v>
      </c>
      <c r="CP12" s="383">
        <v>6</v>
      </c>
      <c r="CQ12" s="383">
        <v>15</v>
      </c>
      <c r="CR12" s="383">
        <v>13</v>
      </c>
      <c r="CS12" s="383">
        <v>15</v>
      </c>
      <c r="CT12" s="383">
        <v>17</v>
      </c>
      <c r="CU12" s="383">
        <v>12</v>
      </c>
      <c r="CV12" s="25">
        <f t="shared" si="9"/>
        <v>0</v>
      </c>
      <c r="CW12" s="25">
        <f t="shared" si="10"/>
        <v>1</v>
      </c>
      <c r="CX12" s="25">
        <f t="shared" si="11"/>
        <v>11</v>
      </c>
      <c r="CY12" s="25">
        <f t="shared" si="12"/>
        <v>42</v>
      </c>
      <c r="CZ12" s="25">
        <f t="shared" si="13"/>
        <v>44</v>
      </c>
      <c r="DA12" s="384">
        <v>0</v>
      </c>
      <c r="DB12" s="384">
        <v>0</v>
      </c>
      <c r="DC12" s="384">
        <v>0</v>
      </c>
      <c r="DD12" s="384">
        <v>0</v>
      </c>
      <c r="DE12" s="384">
        <v>0</v>
      </c>
      <c r="DF12" s="384">
        <v>0</v>
      </c>
      <c r="DG12" s="384">
        <v>0</v>
      </c>
      <c r="DH12" s="384">
        <v>0</v>
      </c>
      <c r="DI12" s="384">
        <v>1</v>
      </c>
      <c r="DJ12" s="384">
        <v>1</v>
      </c>
      <c r="DK12" s="384">
        <v>4</v>
      </c>
      <c r="DL12" s="384">
        <v>7</v>
      </c>
      <c r="DM12" s="384">
        <v>4</v>
      </c>
      <c r="DN12" s="384">
        <v>11</v>
      </c>
      <c r="DO12" s="384">
        <v>13</v>
      </c>
      <c r="DP12" s="384">
        <v>16</v>
      </c>
      <c r="DQ12" s="384">
        <v>16</v>
      </c>
      <c r="DR12" s="384">
        <v>12</v>
      </c>
      <c r="DS12" s="94">
        <f t="shared" si="19"/>
        <v>0</v>
      </c>
      <c r="DT12" s="94">
        <f t="shared" si="20"/>
        <v>0</v>
      </c>
      <c r="DU12" s="94">
        <f t="shared" si="21"/>
        <v>6</v>
      </c>
      <c r="DV12" s="94">
        <f t="shared" si="22"/>
        <v>35</v>
      </c>
      <c r="DW12" s="94">
        <f t="shared" si="23"/>
        <v>44</v>
      </c>
      <c r="DX12" s="385">
        <v>72</v>
      </c>
      <c r="DY12" s="385">
        <v>41</v>
      </c>
      <c r="DZ12" s="385">
        <v>24</v>
      </c>
      <c r="EA12" s="385">
        <v>96</v>
      </c>
      <c r="EB12" s="96">
        <v>0.30587419999999998</v>
      </c>
      <c r="EC12" s="96">
        <v>3.5453150000000003E-2</v>
      </c>
    </row>
    <row r="13" spans="1:133" ht="12.95" customHeight="1">
      <c r="A13" s="2">
        <v>10</v>
      </c>
      <c r="B13" s="3" t="s">
        <v>51</v>
      </c>
      <c r="C13" s="3" t="s">
        <v>52</v>
      </c>
      <c r="D13" s="4">
        <f t="shared" si="0"/>
        <v>37</v>
      </c>
      <c r="E13" s="4">
        <f t="shared" si="1"/>
        <v>35</v>
      </c>
      <c r="F13" s="312">
        <v>0</v>
      </c>
      <c r="G13" s="376">
        <v>3</v>
      </c>
      <c r="H13" s="376">
        <v>9</v>
      </c>
      <c r="I13" s="376">
        <v>5</v>
      </c>
      <c r="J13" s="376">
        <v>11</v>
      </c>
      <c r="K13" s="376">
        <v>9</v>
      </c>
      <c r="L13" s="377">
        <v>26</v>
      </c>
      <c r="M13" s="377">
        <v>1</v>
      </c>
      <c r="N13" s="377">
        <v>3</v>
      </c>
      <c r="O13" s="377">
        <v>6</v>
      </c>
      <c r="P13" s="377">
        <v>1</v>
      </c>
      <c r="Q13" s="378">
        <v>0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1</v>
      </c>
      <c r="Z13" s="378">
        <v>1</v>
      </c>
      <c r="AA13" s="378">
        <v>3</v>
      </c>
      <c r="AB13" s="378">
        <v>2</v>
      </c>
      <c r="AC13" s="378">
        <v>3</v>
      </c>
      <c r="AD13" s="378">
        <v>5</v>
      </c>
      <c r="AE13" s="378">
        <v>4</v>
      </c>
      <c r="AF13" s="378">
        <v>8</v>
      </c>
      <c r="AG13" s="378">
        <v>6</v>
      </c>
      <c r="AH13" s="378">
        <v>4</v>
      </c>
      <c r="AI13" s="24">
        <f t="shared" si="2"/>
        <v>0</v>
      </c>
      <c r="AJ13" s="24">
        <f t="shared" si="3"/>
        <v>0</v>
      </c>
      <c r="AK13" s="24">
        <f t="shared" si="4"/>
        <v>5</v>
      </c>
      <c r="AL13" s="24">
        <f t="shared" si="5"/>
        <v>14</v>
      </c>
      <c r="AM13" s="24">
        <f t="shared" si="6"/>
        <v>18</v>
      </c>
      <c r="AN13" s="379">
        <v>0</v>
      </c>
      <c r="AO13" s="379">
        <v>0</v>
      </c>
      <c r="AP13" s="379">
        <v>0</v>
      </c>
      <c r="AQ13" s="379">
        <v>0</v>
      </c>
      <c r="AR13" s="379">
        <v>0</v>
      </c>
      <c r="AS13" s="379">
        <v>0</v>
      </c>
      <c r="AT13" s="379">
        <v>0</v>
      </c>
      <c r="AU13" s="379">
        <v>1</v>
      </c>
      <c r="AV13" s="379">
        <v>1</v>
      </c>
      <c r="AW13" s="379">
        <v>1</v>
      </c>
      <c r="AX13" s="379">
        <v>2</v>
      </c>
      <c r="AY13" s="379">
        <v>2</v>
      </c>
      <c r="AZ13" s="379">
        <v>2</v>
      </c>
      <c r="BA13" s="379">
        <v>6</v>
      </c>
      <c r="BB13" s="379">
        <v>6</v>
      </c>
      <c r="BC13" s="379">
        <v>2</v>
      </c>
      <c r="BD13" s="379">
        <v>8</v>
      </c>
      <c r="BE13" s="379">
        <v>4</v>
      </c>
      <c r="BF13" s="93">
        <f t="shared" si="14"/>
        <v>0</v>
      </c>
      <c r="BG13" s="93">
        <f t="shared" si="15"/>
        <v>0</v>
      </c>
      <c r="BH13" s="93">
        <f t="shared" si="16"/>
        <v>5</v>
      </c>
      <c r="BI13" s="93">
        <f t="shared" si="17"/>
        <v>16</v>
      </c>
      <c r="BJ13" s="93">
        <f t="shared" si="18"/>
        <v>14</v>
      </c>
      <c r="BK13" s="380">
        <v>66</v>
      </c>
      <c r="BL13" s="380">
        <v>38</v>
      </c>
      <c r="BM13" s="380">
        <v>19</v>
      </c>
      <c r="BN13" s="380">
        <v>82</v>
      </c>
      <c r="BO13" s="96">
        <v>0.54521465000000002</v>
      </c>
      <c r="BP13" s="96">
        <v>0.41981544999999998</v>
      </c>
      <c r="BQ13" s="5">
        <f t="shared" si="7"/>
        <v>70</v>
      </c>
      <c r="BR13" s="5">
        <f t="shared" si="8"/>
        <v>61</v>
      </c>
      <c r="BS13" s="309">
        <v>0</v>
      </c>
      <c r="BT13" s="381">
        <v>8</v>
      </c>
      <c r="BU13" s="381">
        <v>13</v>
      </c>
      <c r="BV13" s="381">
        <v>6</v>
      </c>
      <c r="BW13" s="381">
        <v>14</v>
      </c>
      <c r="BX13" s="381">
        <v>29</v>
      </c>
      <c r="BY13" s="382">
        <v>43</v>
      </c>
      <c r="BZ13" s="382">
        <v>0</v>
      </c>
      <c r="CA13" s="382">
        <v>4</v>
      </c>
      <c r="CB13" s="382">
        <v>21</v>
      </c>
      <c r="CC13" s="382">
        <v>2</v>
      </c>
      <c r="CD13" s="383">
        <v>0</v>
      </c>
      <c r="CE13" s="383">
        <v>0</v>
      </c>
      <c r="CF13" s="383">
        <v>0</v>
      </c>
      <c r="CG13" s="383">
        <v>0</v>
      </c>
      <c r="CH13" s="383">
        <v>0</v>
      </c>
      <c r="CI13" s="383">
        <v>0</v>
      </c>
      <c r="CJ13" s="383">
        <v>0</v>
      </c>
      <c r="CK13" s="383">
        <v>0</v>
      </c>
      <c r="CL13" s="383">
        <v>0</v>
      </c>
      <c r="CM13" s="383">
        <v>3</v>
      </c>
      <c r="CN13" s="383">
        <v>2</v>
      </c>
      <c r="CO13" s="383">
        <v>3</v>
      </c>
      <c r="CP13" s="383">
        <v>5</v>
      </c>
      <c r="CQ13" s="383">
        <v>8</v>
      </c>
      <c r="CR13" s="383">
        <v>13</v>
      </c>
      <c r="CS13" s="383">
        <v>13</v>
      </c>
      <c r="CT13" s="383">
        <v>11</v>
      </c>
      <c r="CU13" s="383">
        <v>12</v>
      </c>
      <c r="CV13" s="25">
        <f t="shared" si="9"/>
        <v>0</v>
      </c>
      <c r="CW13" s="25">
        <f t="shared" si="10"/>
        <v>0</v>
      </c>
      <c r="CX13" s="25">
        <f t="shared" si="11"/>
        <v>5</v>
      </c>
      <c r="CY13" s="25">
        <f t="shared" si="12"/>
        <v>29</v>
      </c>
      <c r="CZ13" s="25">
        <f t="shared" si="13"/>
        <v>36</v>
      </c>
      <c r="DA13" s="384">
        <v>0</v>
      </c>
      <c r="DB13" s="384">
        <v>0</v>
      </c>
      <c r="DC13" s="384">
        <v>0</v>
      </c>
      <c r="DD13" s="384">
        <v>0</v>
      </c>
      <c r="DE13" s="384">
        <v>0</v>
      </c>
      <c r="DF13" s="384">
        <v>0</v>
      </c>
      <c r="DG13" s="384">
        <v>0</v>
      </c>
      <c r="DH13" s="384">
        <v>0</v>
      </c>
      <c r="DI13" s="384">
        <v>0</v>
      </c>
      <c r="DJ13" s="384">
        <v>1</v>
      </c>
      <c r="DK13" s="384">
        <v>1</v>
      </c>
      <c r="DL13" s="384">
        <v>3</v>
      </c>
      <c r="DM13" s="384">
        <v>11</v>
      </c>
      <c r="DN13" s="384">
        <v>9</v>
      </c>
      <c r="DO13" s="384">
        <v>8</v>
      </c>
      <c r="DP13" s="384">
        <v>8</v>
      </c>
      <c r="DQ13" s="384">
        <v>10</v>
      </c>
      <c r="DR13" s="384">
        <v>10</v>
      </c>
      <c r="DS13" s="94">
        <f t="shared" si="19"/>
        <v>0</v>
      </c>
      <c r="DT13" s="94">
        <f t="shared" si="20"/>
        <v>0</v>
      </c>
      <c r="DU13" s="94">
        <f t="shared" si="21"/>
        <v>2</v>
      </c>
      <c r="DV13" s="94">
        <f t="shared" si="22"/>
        <v>31</v>
      </c>
      <c r="DW13" s="94">
        <f t="shared" si="23"/>
        <v>28</v>
      </c>
      <c r="DX13" s="385">
        <v>102</v>
      </c>
      <c r="DY13" s="385">
        <v>68</v>
      </c>
      <c r="DZ13" s="385">
        <v>36</v>
      </c>
      <c r="EA13" s="385">
        <v>131</v>
      </c>
      <c r="EB13" s="96">
        <v>0.25572464</v>
      </c>
      <c r="EC13" s="96">
        <v>0.16820226999999999</v>
      </c>
    </row>
    <row r="14" spans="1:133" ht="12.95" customHeight="1">
      <c r="A14" s="12">
        <v>11</v>
      </c>
      <c r="B14" s="3" t="s">
        <v>53</v>
      </c>
      <c r="C14" s="3" t="s">
        <v>54</v>
      </c>
      <c r="D14" s="4">
        <f t="shared" si="0"/>
        <v>244</v>
      </c>
      <c r="E14" s="4">
        <f t="shared" si="1"/>
        <v>226</v>
      </c>
      <c r="F14" s="312">
        <v>0</v>
      </c>
      <c r="G14" s="376">
        <v>3</v>
      </c>
      <c r="H14" s="376">
        <v>27</v>
      </c>
      <c r="I14" s="376">
        <v>20</v>
      </c>
      <c r="J14" s="376">
        <v>90</v>
      </c>
      <c r="K14" s="376">
        <v>104</v>
      </c>
      <c r="L14" s="377">
        <v>135</v>
      </c>
      <c r="M14" s="377">
        <v>1</v>
      </c>
      <c r="N14" s="377">
        <v>36</v>
      </c>
      <c r="O14" s="377">
        <v>69</v>
      </c>
      <c r="P14" s="377">
        <v>4</v>
      </c>
      <c r="Q14" s="378">
        <v>0</v>
      </c>
      <c r="R14" s="378">
        <v>0</v>
      </c>
      <c r="S14" s="378">
        <v>0</v>
      </c>
      <c r="T14" s="378">
        <v>0</v>
      </c>
      <c r="U14" s="378">
        <v>0</v>
      </c>
      <c r="V14" s="378">
        <v>0</v>
      </c>
      <c r="W14" s="378">
        <v>1</v>
      </c>
      <c r="X14" s="378">
        <v>2</v>
      </c>
      <c r="Y14" s="378">
        <v>6</v>
      </c>
      <c r="Z14" s="378">
        <v>15</v>
      </c>
      <c r="AA14" s="378">
        <v>19</v>
      </c>
      <c r="AB14" s="378">
        <v>25</v>
      </c>
      <c r="AC14" s="378">
        <v>26</v>
      </c>
      <c r="AD14" s="378">
        <v>37</v>
      </c>
      <c r="AE14" s="378">
        <v>39</v>
      </c>
      <c r="AF14" s="378">
        <v>38</v>
      </c>
      <c r="AG14" s="378">
        <v>23</v>
      </c>
      <c r="AH14" s="378">
        <v>13</v>
      </c>
      <c r="AI14" s="24">
        <f t="shared" si="2"/>
        <v>0</v>
      </c>
      <c r="AJ14" s="24">
        <f t="shared" si="3"/>
        <v>0</v>
      </c>
      <c r="AK14" s="24">
        <f t="shared" si="4"/>
        <v>43</v>
      </c>
      <c r="AL14" s="24">
        <f t="shared" si="5"/>
        <v>127</v>
      </c>
      <c r="AM14" s="24">
        <f t="shared" si="6"/>
        <v>74</v>
      </c>
      <c r="AN14" s="379">
        <v>0</v>
      </c>
      <c r="AO14" s="379">
        <v>0</v>
      </c>
      <c r="AP14" s="379">
        <v>0</v>
      </c>
      <c r="AQ14" s="379">
        <v>0</v>
      </c>
      <c r="AR14" s="379">
        <v>0</v>
      </c>
      <c r="AS14" s="379">
        <v>0</v>
      </c>
      <c r="AT14" s="379">
        <v>0</v>
      </c>
      <c r="AU14" s="379">
        <v>0</v>
      </c>
      <c r="AV14" s="379">
        <v>4</v>
      </c>
      <c r="AW14" s="379">
        <v>8</v>
      </c>
      <c r="AX14" s="379">
        <v>17</v>
      </c>
      <c r="AY14" s="379">
        <v>19</v>
      </c>
      <c r="AZ14" s="379">
        <v>22</v>
      </c>
      <c r="BA14" s="379">
        <v>48</v>
      </c>
      <c r="BB14" s="379">
        <v>38</v>
      </c>
      <c r="BC14" s="379">
        <v>35</v>
      </c>
      <c r="BD14" s="379">
        <v>22</v>
      </c>
      <c r="BE14" s="379">
        <v>13</v>
      </c>
      <c r="BF14" s="93">
        <f t="shared" si="14"/>
        <v>0</v>
      </c>
      <c r="BG14" s="93">
        <f t="shared" si="15"/>
        <v>0</v>
      </c>
      <c r="BH14" s="93">
        <f t="shared" si="16"/>
        <v>29</v>
      </c>
      <c r="BI14" s="93">
        <f t="shared" si="17"/>
        <v>127</v>
      </c>
      <c r="BJ14" s="93">
        <f t="shared" si="18"/>
        <v>70</v>
      </c>
      <c r="BK14" s="380">
        <v>135</v>
      </c>
      <c r="BL14" s="380">
        <v>69</v>
      </c>
      <c r="BM14" s="380">
        <v>43</v>
      </c>
      <c r="BN14" s="380">
        <v>206</v>
      </c>
      <c r="BO14" s="96">
        <v>0.15786673000000001</v>
      </c>
      <c r="BP14" s="96">
        <v>2.4509320000000001E-2</v>
      </c>
      <c r="BQ14" s="5">
        <f t="shared" si="7"/>
        <v>287</v>
      </c>
      <c r="BR14" s="5">
        <f t="shared" si="8"/>
        <v>243</v>
      </c>
      <c r="BS14" s="309">
        <v>0</v>
      </c>
      <c r="BT14" s="381">
        <v>11</v>
      </c>
      <c r="BU14" s="381">
        <v>56</v>
      </c>
      <c r="BV14" s="381">
        <v>29</v>
      </c>
      <c r="BW14" s="381">
        <v>88</v>
      </c>
      <c r="BX14" s="381">
        <v>103</v>
      </c>
      <c r="BY14" s="382">
        <v>162</v>
      </c>
      <c r="BZ14" s="382">
        <v>1</v>
      </c>
      <c r="CA14" s="382">
        <v>42</v>
      </c>
      <c r="CB14" s="382">
        <v>73</v>
      </c>
      <c r="CC14" s="382">
        <v>10</v>
      </c>
      <c r="CD14" s="383">
        <v>0</v>
      </c>
      <c r="CE14" s="383">
        <v>0</v>
      </c>
      <c r="CF14" s="383">
        <v>0</v>
      </c>
      <c r="CG14" s="383">
        <v>0</v>
      </c>
      <c r="CH14" s="383">
        <v>1</v>
      </c>
      <c r="CI14" s="383">
        <v>1</v>
      </c>
      <c r="CJ14" s="383">
        <v>1</v>
      </c>
      <c r="CK14" s="383">
        <v>0</v>
      </c>
      <c r="CL14" s="383">
        <v>1</v>
      </c>
      <c r="CM14" s="383">
        <v>3</v>
      </c>
      <c r="CN14" s="383">
        <v>13</v>
      </c>
      <c r="CO14" s="383">
        <v>21</v>
      </c>
      <c r="CP14" s="383">
        <v>27</v>
      </c>
      <c r="CQ14" s="383">
        <v>39</v>
      </c>
      <c r="CR14" s="383">
        <v>41</v>
      </c>
      <c r="CS14" s="383">
        <v>53</v>
      </c>
      <c r="CT14" s="383">
        <v>46</v>
      </c>
      <c r="CU14" s="383">
        <v>40</v>
      </c>
      <c r="CV14" s="25">
        <f t="shared" si="9"/>
        <v>0</v>
      </c>
      <c r="CW14" s="25">
        <f t="shared" si="10"/>
        <v>2</v>
      </c>
      <c r="CX14" s="25">
        <f t="shared" si="11"/>
        <v>18</v>
      </c>
      <c r="CY14" s="25">
        <f t="shared" si="12"/>
        <v>128</v>
      </c>
      <c r="CZ14" s="25">
        <f t="shared" si="13"/>
        <v>139</v>
      </c>
      <c r="DA14" s="384">
        <v>0</v>
      </c>
      <c r="DB14" s="384">
        <v>0</v>
      </c>
      <c r="DC14" s="384">
        <v>0</v>
      </c>
      <c r="DD14" s="384">
        <v>0</v>
      </c>
      <c r="DE14" s="384">
        <v>0</v>
      </c>
      <c r="DF14" s="384">
        <v>1</v>
      </c>
      <c r="DG14" s="384">
        <v>0</v>
      </c>
      <c r="DH14" s="384">
        <v>0</v>
      </c>
      <c r="DI14" s="384">
        <v>0</v>
      </c>
      <c r="DJ14" s="384">
        <v>5</v>
      </c>
      <c r="DK14" s="384">
        <v>9</v>
      </c>
      <c r="DL14" s="384">
        <v>13</v>
      </c>
      <c r="DM14" s="384">
        <v>18</v>
      </c>
      <c r="DN14" s="384">
        <v>31</v>
      </c>
      <c r="DO14" s="384">
        <v>30</v>
      </c>
      <c r="DP14" s="384">
        <v>60</v>
      </c>
      <c r="DQ14" s="384">
        <v>44</v>
      </c>
      <c r="DR14" s="384">
        <v>32</v>
      </c>
      <c r="DS14" s="94">
        <f t="shared" si="19"/>
        <v>0</v>
      </c>
      <c r="DT14" s="94">
        <f t="shared" si="20"/>
        <v>1</v>
      </c>
      <c r="DU14" s="94">
        <f t="shared" si="21"/>
        <v>14</v>
      </c>
      <c r="DV14" s="94">
        <f t="shared" si="22"/>
        <v>92</v>
      </c>
      <c r="DW14" s="94">
        <f t="shared" si="23"/>
        <v>136</v>
      </c>
      <c r="DX14" s="385">
        <v>165</v>
      </c>
      <c r="DY14" s="385">
        <v>86</v>
      </c>
      <c r="DZ14" s="385">
        <v>41</v>
      </c>
      <c r="EA14" s="385">
        <v>264</v>
      </c>
      <c r="EB14" s="96">
        <v>0.20587823</v>
      </c>
      <c r="EC14" s="96">
        <v>6.2114639999999999E-2</v>
      </c>
    </row>
    <row r="15" spans="1:133" ht="12.95" customHeight="1">
      <c r="A15" s="2">
        <v>12</v>
      </c>
      <c r="B15" s="3" t="s">
        <v>55</v>
      </c>
      <c r="C15" s="3" t="s">
        <v>56</v>
      </c>
      <c r="D15" s="4">
        <f t="shared" si="0"/>
        <v>30</v>
      </c>
      <c r="E15" s="4">
        <f t="shared" si="1"/>
        <v>27</v>
      </c>
      <c r="F15" s="312">
        <v>0</v>
      </c>
      <c r="G15" s="376">
        <v>0</v>
      </c>
      <c r="H15" s="376">
        <v>1</v>
      </c>
      <c r="I15" s="376">
        <v>7</v>
      </c>
      <c r="J15" s="376">
        <v>5</v>
      </c>
      <c r="K15" s="376">
        <v>17</v>
      </c>
      <c r="L15" s="377">
        <v>16</v>
      </c>
      <c r="M15" s="377">
        <v>0</v>
      </c>
      <c r="N15" s="377">
        <v>0</v>
      </c>
      <c r="O15" s="377">
        <v>13</v>
      </c>
      <c r="P15" s="377">
        <v>2</v>
      </c>
      <c r="Q15" s="378">
        <v>1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2</v>
      </c>
      <c r="AB15" s="378">
        <v>3</v>
      </c>
      <c r="AC15" s="378">
        <v>3</v>
      </c>
      <c r="AD15" s="378">
        <v>6</v>
      </c>
      <c r="AE15" s="378">
        <v>1</v>
      </c>
      <c r="AF15" s="378">
        <v>5</v>
      </c>
      <c r="AG15" s="378">
        <v>4</v>
      </c>
      <c r="AH15" s="378">
        <v>5</v>
      </c>
      <c r="AI15" s="24">
        <f t="shared" si="2"/>
        <v>1</v>
      </c>
      <c r="AJ15" s="24">
        <f t="shared" si="3"/>
        <v>0</v>
      </c>
      <c r="AK15" s="24">
        <f t="shared" si="4"/>
        <v>2</v>
      </c>
      <c r="AL15" s="24">
        <f t="shared" si="5"/>
        <v>13</v>
      </c>
      <c r="AM15" s="24">
        <f t="shared" si="6"/>
        <v>14</v>
      </c>
      <c r="AN15" s="379">
        <v>0</v>
      </c>
      <c r="AO15" s="379">
        <v>0</v>
      </c>
      <c r="AP15" s="379">
        <v>0</v>
      </c>
      <c r="AQ15" s="379">
        <v>0</v>
      </c>
      <c r="AR15" s="379">
        <v>0</v>
      </c>
      <c r="AS15" s="379">
        <v>0</v>
      </c>
      <c r="AT15" s="379">
        <v>0</v>
      </c>
      <c r="AU15" s="379">
        <v>1</v>
      </c>
      <c r="AV15" s="379">
        <v>0</v>
      </c>
      <c r="AW15" s="379">
        <v>0</v>
      </c>
      <c r="AX15" s="379">
        <v>2</v>
      </c>
      <c r="AY15" s="379">
        <v>0</v>
      </c>
      <c r="AZ15" s="379">
        <v>2</v>
      </c>
      <c r="BA15" s="379">
        <v>7</v>
      </c>
      <c r="BB15" s="379">
        <v>1</v>
      </c>
      <c r="BC15" s="379">
        <v>6</v>
      </c>
      <c r="BD15" s="379">
        <v>4</v>
      </c>
      <c r="BE15" s="379">
        <v>4</v>
      </c>
      <c r="BF15" s="93">
        <f t="shared" si="14"/>
        <v>0</v>
      </c>
      <c r="BG15" s="93">
        <f t="shared" si="15"/>
        <v>0</v>
      </c>
      <c r="BH15" s="93">
        <f t="shared" si="16"/>
        <v>3</v>
      </c>
      <c r="BI15" s="93">
        <f t="shared" si="17"/>
        <v>10</v>
      </c>
      <c r="BJ15" s="93">
        <f t="shared" si="18"/>
        <v>14</v>
      </c>
      <c r="BK15" s="380">
        <v>77</v>
      </c>
      <c r="BL15" s="380">
        <v>51</v>
      </c>
      <c r="BM15" s="380">
        <v>25</v>
      </c>
      <c r="BN15" s="380">
        <v>83</v>
      </c>
      <c r="BO15" s="96">
        <v>0.51212959999999996</v>
      </c>
      <c r="BP15" s="96">
        <v>0.19065188</v>
      </c>
      <c r="BQ15" s="5">
        <f t="shared" si="7"/>
        <v>43</v>
      </c>
      <c r="BR15" s="5">
        <f t="shared" si="8"/>
        <v>36</v>
      </c>
      <c r="BS15" s="309">
        <v>0</v>
      </c>
      <c r="BT15" s="381">
        <v>4</v>
      </c>
      <c r="BU15" s="381">
        <v>2</v>
      </c>
      <c r="BV15" s="381">
        <v>8</v>
      </c>
      <c r="BW15" s="381">
        <v>5</v>
      </c>
      <c r="BX15" s="381">
        <v>24</v>
      </c>
      <c r="BY15" s="382">
        <v>24</v>
      </c>
      <c r="BZ15" s="382">
        <v>0</v>
      </c>
      <c r="CA15" s="382">
        <v>3</v>
      </c>
      <c r="CB15" s="382">
        <v>16</v>
      </c>
      <c r="CC15" s="382">
        <v>0</v>
      </c>
      <c r="CD15" s="383">
        <v>0</v>
      </c>
      <c r="CE15" s="383">
        <v>0</v>
      </c>
      <c r="CF15" s="383">
        <v>0</v>
      </c>
      <c r="CG15" s="383">
        <v>0</v>
      </c>
      <c r="CH15" s="383">
        <v>0</v>
      </c>
      <c r="CI15" s="383">
        <v>0</v>
      </c>
      <c r="CJ15" s="383">
        <v>0</v>
      </c>
      <c r="CK15" s="383">
        <v>1</v>
      </c>
      <c r="CL15" s="383">
        <v>1</v>
      </c>
      <c r="CM15" s="383">
        <v>2</v>
      </c>
      <c r="CN15" s="383">
        <v>4</v>
      </c>
      <c r="CO15" s="383">
        <v>0</v>
      </c>
      <c r="CP15" s="383">
        <v>3</v>
      </c>
      <c r="CQ15" s="383">
        <v>6</v>
      </c>
      <c r="CR15" s="383">
        <v>2</v>
      </c>
      <c r="CS15" s="383">
        <v>8</v>
      </c>
      <c r="CT15" s="383">
        <v>7</v>
      </c>
      <c r="CU15" s="383">
        <v>9</v>
      </c>
      <c r="CV15" s="25">
        <f t="shared" si="9"/>
        <v>0</v>
      </c>
      <c r="CW15" s="25">
        <f t="shared" si="10"/>
        <v>0</v>
      </c>
      <c r="CX15" s="25">
        <f t="shared" si="11"/>
        <v>8</v>
      </c>
      <c r="CY15" s="25">
        <f t="shared" si="12"/>
        <v>11</v>
      </c>
      <c r="CZ15" s="25">
        <f t="shared" si="13"/>
        <v>24</v>
      </c>
      <c r="DA15" s="384">
        <v>0</v>
      </c>
      <c r="DB15" s="384">
        <v>0</v>
      </c>
      <c r="DC15" s="384">
        <v>0</v>
      </c>
      <c r="DD15" s="384">
        <v>0</v>
      </c>
      <c r="DE15" s="384">
        <v>0</v>
      </c>
      <c r="DF15" s="384">
        <v>0</v>
      </c>
      <c r="DG15" s="384">
        <v>0</v>
      </c>
      <c r="DH15" s="384">
        <v>0</v>
      </c>
      <c r="DI15" s="384">
        <v>0</v>
      </c>
      <c r="DJ15" s="384">
        <v>1</v>
      </c>
      <c r="DK15" s="384">
        <v>2</v>
      </c>
      <c r="DL15" s="384">
        <v>2</v>
      </c>
      <c r="DM15" s="384">
        <v>1</v>
      </c>
      <c r="DN15" s="384">
        <v>10</v>
      </c>
      <c r="DO15" s="384">
        <v>2</v>
      </c>
      <c r="DP15" s="384">
        <v>4</v>
      </c>
      <c r="DQ15" s="384">
        <v>7</v>
      </c>
      <c r="DR15" s="384">
        <v>7</v>
      </c>
      <c r="DS15" s="94">
        <f t="shared" si="19"/>
        <v>0</v>
      </c>
      <c r="DT15" s="94">
        <f t="shared" si="20"/>
        <v>0</v>
      </c>
      <c r="DU15" s="94">
        <f t="shared" si="21"/>
        <v>3</v>
      </c>
      <c r="DV15" s="94">
        <f t="shared" si="22"/>
        <v>15</v>
      </c>
      <c r="DW15" s="94">
        <f t="shared" si="23"/>
        <v>18</v>
      </c>
      <c r="DX15" s="385">
        <v>147</v>
      </c>
      <c r="DY15" s="385">
        <v>89</v>
      </c>
      <c r="DZ15" s="385">
        <v>51</v>
      </c>
      <c r="EA15" s="385">
        <v>162</v>
      </c>
      <c r="EB15" s="96">
        <v>0.60385376000000002</v>
      </c>
      <c r="EC15" s="96">
        <v>0.45835438000000001</v>
      </c>
    </row>
    <row r="16" spans="1:133" ht="12.95" customHeight="1">
      <c r="A16" s="12">
        <v>13</v>
      </c>
      <c r="B16" s="3" t="s">
        <v>57</v>
      </c>
      <c r="C16" s="3" t="s">
        <v>58</v>
      </c>
      <c r="D16" s="4">
        <f t="shared" si="0"/>
        <v>7</v>
      </c>
      <c r="E16" s="4">
        <f t="shared" si="1"/>
        <v>11</v>
      </c>
      <c r="F16" s="312">
        <v>0</v>
      </c>
      <c r="G16" s="376">
        <v>0</v>
      </c>
      <c r="H16" s="376">
        <v>0</v>
      </c>
      <c r="I16" s="376">
        <v>2</v>
      </c>
      <c r="J16" s="376">
        <v>3</v>
      </c>
      <c r="K16" s="376">
        <v>2</v>
      </c>
      <c r="L16" s="377">
        <v>4</v>
      </c>
      <c r="M16" s="377">
        <v>1</v>
      </c>
      <c r="N16" s="377">
        <v>0</v>
      </c>
      <c r="O16" s="377">
        <v>2</v>
      </c>
      <c r="P16" s="377">
        <v>0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1</v>
      </c>
      <c r="X16" s="378">
        <v>0</v>
      </c>
      <c r="Y16" s="378">
        <v>0</v>
      </c>
      <c r="Z16" s="378">
        <v>1</v>
      </c>
      <c r="AA16" s="378">
        <v>0</v>
      </c>
      <c r="AB16" s="378">
        <v>2</v>
      </c>
      <c r="AC16" s="378">
        <v>2</v>
      </c>
      <c r="AD16" s="378">
        <v>0</v>
      </c>
      <c r="AE16" s="378">
        <v>1</v>
      </c>
      <c r="AF16" s="378">
        <v>0</v>
      </c>
      <c r="AG16" s="378">
        <v>0</v>
      </c>
      <c r="AH16" s="378">
        <v>0</v>
      </c>
      <c r="AI16" s="24">
        <f t="shared" si="2"/>
        <v>0</v>
      </c>
      <c r="AJ16" s="24">
        <f t="shared" si="3"/>
        <v>0</v>
      </c>
      <c r="AK16" s="24">
        <f t="shared" si="4"/>
        <v>2</v>
      </c>
      <c r="AL16" s="24">
        <f t="shared" si="5"/>
        <v>5</v>
      </c>
      <c r="AM16" s="24">
        <f t="shared" si="6"/>
        <v>0</v>
      </c>
      <c r="AN16" s="379">
        <v>0</v>
      </c>
      <c r="AO16" s="379">
        <v>0</v>
      </c>
      <c r="AP16" s="379">
        <v>0</v>
      </c>
      <c r="AQ16" s="379">
        <v>0</v>
      </c>
      <c r="AR16" s="379">
        <v>0</v>
      </c>
      <c r="AS16" s="379">
        <v>0</v>
      </c>
      <c r="AT16" s="379">
        <v>0</v>
      </c>
      <c r="AU16" s="379">
        <v>0</v>
      </c>
      <c r="AV16" s="379">
        <v>1</v>
      </c>
      <c r="AW16" s="379">
        <v>2</v>
      </c>
      <c r="AX16" s="379">
        <v>2</v>
      </c>
      <c r="AY16" s="379">
        <v>0</v>
      </c>
      <c r="AZ16" s="379">
        <v>3</v>
      </c>
      <c r="BA16" s="379">
        <v>0</v>
      </c>
      <c r="BB16" s="379">
        <v>1</v>
      </c>
      <c r="BC16" s="379">
        <v>1</v>
      </c>
      <c r="BD16" s="379">
        <v>0</v>
      </c>
      <c r="BE16" s="379">
        <v>1</v>
      </c>
      <c r="BF16" s="93">
        <f t="shared" si="14"/>
        <v>0</v>
      </c>
      <c r="BG16" s="93">
        <f t="shared" si="15"/>
        <v>0</v>
      </c>
      <c r="BH16" s="93">
        <f t="shared" si="16"/>
        <v>5</v>
      </c>
      <c r="BI16" s="93">
        <f t="shared" si="17"/>
        <v>4</v>
      </c>
      <c r="BJ16" s="93">
        <f t="shared" si="18"/>
        <v>2</v>
      </c>
      <c r="BK16" s="380">
        <v>67</v>
      </c>
      <c r="BL16" s="380">
        <v>40</v>
      </c>
      <c r="BM16" s="380">
        <v>24</v>
      </c>
      <c r="BN16" s="380">
        <v>70</v>
      </c>
      <c r="BO16" s="96">
        <v>0.44775417000000001</v>
      </c>
      <c r="BP16" s="96">
        <v>0.35586825</v>
      </c>
      <c r="BQ16" s="5">
        <f t="shared" si="7"/>
        <v>12</v>
      </c>
      <c r="BR16" s="5">
        <f t="shared" si="8"/>
        <v>9</v>
      </c>
      <c r="BS16" s="309">
        <v>0</v>
      </c>
      <c r="BT16" s="381">
        <v>0</v>
      </c>
      <c r="BU16" s="381">
        <v>1</v>
      </c>
      <c r="BV16" s="381">
        <v>2</v>
      </c>
      <c r="BW16" s="381">
        <v>6</v>
      </c>
      <c r="BX16" s="381">
        <v>3</v>
      </c>
      <c r="BY16" s="382">
        <v>9</v>
      </c>
      <c r="BZ16" s="382">
        <v>0</v>
      </c>
      <c r="CA16" s="382">
        <v>1</v>
      </c>
      <c r="CB16" s="382">
        <v>1</v>
      </c>
      <c r="CC16" s="382">
        <v>1</v>
      </c>
      <c r="CD16" s="383">
        <v>0</v>
      </c>
      <c r="CE16" s="383">
        <v>0</v>
      </c>
      <c r="CF16" s="383">
        <v>0</v>
      </c>
      <c r="CG16" s="383">
        <v>0</v>
      </c>
      <c r="CH16" s="383">
        <v>0</v>
      </c>
      <c r="CI16" s="383">
        <v>0</v>
      </c>
      <c r="CJ16" s="383">
        <v>0</v>
      </c>
      <c r="CK16" s="383">
        <v>0</v>
      </c>
      <c r="CL16" s="383">
        <v>1</v>
      </c>
      <c r="CM16" s="383">
        <v>0</v>
      </c>
      <c r="CN16" s="383">
        <v>0</v>
      </c>
      <c r="CO16" s="383">
        <v>1</v>
      </c>
      <c r="CP16" s="383">
        <v>3</v>
      </c>
      <c r="CQ16" s="383">
        <v>3</v>
      </c>
      <c r="CR16" s="383">
        <v>1</v>
      </c>
      <c r="CS16" s="383">
        <v>0</v>
      </c>
      <c r="CT16" s="383">
        <v>2</v>
      </c>
      <c r="CU16" s="383">
        <v>1</v>
      </c>
      <c r="CV16" s="25">
        <f t="shared" si="9"/>
        <v>0</v>
      </c>
      <c r="CW16" s="25">
        <f t="shared" si="10"/>
        <v>0</v>
      </c>
      <c r="CX16" s="25">
        <f t="shared" si="11"/>
        <v>1</v>
      </c>
      <c r="CY16" s="25">
        <f t="shared" si="12"/>
        <v>8</v>
      </c>
      <c r="CZ16" s="25">
        <f t="shared" si="13"/>
        <v>3</v>
      </c>
      <c r="DA16" s="384">
        <v>0</v>
      </c>
      <c r="DB16" s="384">
        <v>0</v>
      </c>
      <c r="DC16" s="384">
        <v>0</v>
      </c>
      <c r="DD16" s="384">
        <v>0</v>
      </c>
      <c r="DE16" s="384">
        <v>0</v>
      </c>
      <c r="DF16" s="384">
        <v>0</v>
      </c>
      <c r="DG16" s="384">
        <v>0</v>
      </c>
      <c r="DH16" s="384">
        <v>0</v>
      </c>
      <c r="DI16" s="384">
        <v>1</v>
      </c>
      <c r="DJ16" s="384">
        <v>0</v>
      </c>
      <c r="DK16" s="384">
        <v>0</v>
      </c>
      <c r="DL16" s="384">
        <v>1</v>
      </c>
      <c r="DM16" s="384">
        <v>0</v>
      </c>
      <c r="DN16" s="384">
        <v>1</v>
      </c>
      <c r="DO16" s="384">
        <v>1</v>
      </c>
      <c r="DP16" s="384">
        <v>2</v>
      </c>
      <c r="DQ16" s="384">
        <v>0</v>
      </c>
      <c r="DR16" s="384">
        <v>3</v>
      </c>
      <c r="DS16" s="94">
        <f t="shared" si="19"/>
        <v>0</v>
      </c>
      <c r="DT16" s="94">
        <f t="shared" si="20"/>
        <v>0</v>
      </c>
      <c r="DU16" s="94">
        <f t="shared" si="21"/>
        <v>1</v>
      </c>
      <c r="DV16" s="94">
        <f t="shared" si="22"/>
        <v>3</v>
      </c>
      <c r="DW16" s="94">
        <f t="shared" si="23"/>
        <v>5</v>
      </c>
      <c r="DX16" s="385">
        <v>59</v>
      </c>
      <c r="DY16" s="385">
        <v>36</v>
      </c>
      <c r="DZ16" s="385">
        <v>23</v>
      </c>
      <c r="EA16" s="385">
        <v>65</v>
      </c>
      <c r="EB16" s="96">
        <v>0.75554608999999995</v>
      </c>
      <c r="EC16" s="96">
        <v>0.69289011</v>
      </c>
    </row>
    <row r="17" spans="1:133" ht="12.95" customHeight="1">
      <c r="A17" s="2">
        <v>14</v>
      </c>
      <c r="B17" s="3" t="s">
        <v>59</v>
      </c>
      <c r="C17" s="3" t="s">
        <v>60</v>
      </c>
      <c r="D17" s="4">
        <f t="shared" si="0"/>
        <v>163</v>
      </c>
      <c r="E17" s="4">
        <f t="shared" si="1"/>
        <v>122</v>
      </c>
      <c r="F17" s="312">
        <v>0</v>
      </c>
      <c r="G17" s="376">
        <v>16</v>
      </c>
      <c r="H17" s="376">
        <v>25</v>
      </c>
      <c r="I17" s="376">
        <v>33</v>
      </c>
      <c r="J17" s="376">
        <v>49</v>
      </c>
      <c r="K17" s="376">
        <v>40</v>
      </c>
      <c r="L17" s="377">
        <v>130</v>
      </c>
      <c r="M17" s="377">
        <v>2</v>
      </c>
      <c r="N17" s="377">
        <v>4</v>
      </c>
      <c r="O17" s="377">
        <v>26</v>
      </c>
      <c r="P17" s="377">
        <v>1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6</v>
      </c>
      <c r="Z17" s="378">
        <v>5</v>
      </c>
      <c r="AA17" s="378">
        <v>25</v>
      </c>
      <c r="AB17" s="378">
        <v>26</v>
      </c>
      <c r="AC17" s="378">
        <v>29</v>
      </c>
      <c r="AD17" s="378">
        <v>25</v>
      </c>
      <c r="AE17" s="378">
        <v>25</v>
      </c>
      <c r="AF17" s="378">
        <v>7</v>
      </c>
      <c r="AG17" s="378">
        <v>9</v>
      </c>
      <c r="AH17" s="378">
        <v>6</v>
      </c>
      <c r="AI17" s="24">
        <f t="shared" si="2"/>
        <v>0</v>
      </c>
      <c r="AJ17" s="24">
        <f t="shared" si="3"/>
        <v>0</v>
      </c>
      <c r="AK17" s="24">
        <f t="shared" si="4"/>
        <v>36</v>
      </c>
      <c r="AL17" s="24">
        <f t="shared" si="5"/>
        <v>105</v>
      </c>
      <c r="AM17" s="24">
        <f t="shared" si="6"/>
        <v>22</v>
      </c>
      <c r="AN17" s="379">
        <v>0</v>
      </c>
      <c r="AO17" s="379">
        <v>0</v>
      </c>
      <c r="AP17" s="379">
        <v>0</v>
      </c>
      <c r="AQ17" s="379">
        <v>0</v>
      </c>
      <c r="AR17" s="379">
        <v>0</v>
      </c>
      <c r="AS17" s="379">
        <v>0</v>
      </c>
      <c r="AT17" s="379">
        <v>0</v>
      </c>
      <c r="AU17" s="379">
        <v>0</v>
      </c>
      <c r="AV17" s="379">
        <v>4</v>
      </c>
      <c r="AW17" s="379">
        <v>4</v>
      </c>
      <c r="AX17" s="379">
        <v>12</v>
      </c>
      <c r="AY17" s="379">
        <v>15</v>
      </c>
      <c r="AZ17" s="379">
        <v>18</v>
      </c>
      <c r="BA17" s="379">
        <v>24</v>
      </c>
      <c r="BB17" s="379">
        <v>24</v>
      </c>
      <c r="BC17" s="379">
        <v>9</v>
      </c>
      <c r="BD17" s="379">
        <v>7</v>
      </c>
      <c r="BE17" s="379">
        <v>5</v>
      </c>
      <c r="BF17" s="93">
        <f t="shared" si="14"/>
        <v>0</v>
      </c>
      <c r="BG17" s="93">
        <f t="shared" si="15"/>
        <v>0</v>
      </c>
      <c r="BH17" s="93">
        <f t="shared" si="16"/>
        <v>20</v>
      </c>
      <c r="BI17" s="93">
        <f t="shared" si="17"/>
        <v>81</v>
      </c>
      <c r="BJ17" s="93">
        <f t="shared" si="18"/>
        <v>21</v>
      </c>
      <c r="BK17" s="380">
        <v>868</v>
      </c>
      <c r="BL17" s="380">
        <v>598</v>
      </c>
      <c r="BM17" s="380">
        <v>328</v>
      </c>
      <c r="BN17" s="380">
        <v>959</v>
      </c>
      <c r="BO17" s="96">
        <v>0.74201786999999997</v>
      </c>
      <c r="BP17" s="96">
        <v>0.54834527</v>
      </c>
      <c r="BQ17" s="5">
        <f t="shared" si="7"/>
        <v>15</v>
      </c>
      <c r="BR17" s="5">
        <f t="shared" si="8"/>
        <v>10</v>
      </c>
      <c r="BS17" s="309">
        <v>0</v>
      </c>
      <c r="BT17" s="381">
        <v>1</v>
      </c>
      <c r="BU17" s="381">
        <v>3</v>
      </c>
      <c r="BV17" s="381">
        <v>3</v>
      </c>
      <c r="BW17" s="381">
        <v>4</v>
      </c>
      <c r="BX17" s="381">
        <v>4</v>
      </c>
      <c r="BY17" s="382">
        <v>13</v>
      </c>
      <c r="BZ17" s="382">
        <v>1</v>
      </c>
      <c r="CA17" s="382">
        <v>0</v>
      </c>
      <c r="CB17" s="382">
        <v>1</v>
      </c>
      <c r="CC17" s="382">
        <v>0</v>
      </c>
      <c r="CD17" s="383">
        <v>0</v>
      </c>
      <c r="CE17" s="383">
        <v>0</v>
      </c>
      <c r="CF17" s="383">
        <v>0</v>
      </c>
      <c r="CG17" s="383">
        <v>0</v>
      </c>
      <c r="CH17" s="383">
        <v>1</v>
      </c>
      <c r="CI17" s="383">
        <v>0</v>
      </c>
      <c r="CJ17" s="383">
        <v>0</v>
      </c>
      <c r="CK17" s="383">
        <v>0</v>
      </c>
      <c r="CL17" s="383">
        <v>0</v>
      </c>
      <c r="CM17" s="383">
        <v>0</v>
      </c>
      <c r="CN17" s="383">
        <v>0</v>
      </c>
      <c r="CO17" s="383">
        <v>2</v>
      </c>
      <c r="CP17" s="383">
        <v>3</v>
      </c>
      <c r="CQ17" s="383">
        <v>4</v>
      </c>
      <c r="CR17" s="383">
        <v>2</v>
      </c>
      <c r="CS17" s="383">
        <v>2</v>
      </c>
      <c r="CT17" s="383">
        <v>0</v>
      </c>
      <c r="CU17" s="383">
        <v>1</v>
      </c>
      <c r="CV17" s="25">
        <f t="shared" si="9"/>
        <v>0</v>
      </c>
      <c r="CW17" s="25">
        <f t="shared" si="10"/>
        <v>1</v>
      </c>
      <c r="CX17" s="25">
        <f t="shared" si="11"/>
        <v>0</v>
      </c>
      <c r="CY17" s="25">
        <f t="shared" si="12"/>
        <v>11</v>
      </c>
      <c r="CZ17" s="25">
        <f t="shared" si="13"/>
        <v>3</v>
      </c>
      <c r="DA17" s="384">
        <v>0</v>
      </c>
      <c r="DB17" s="384">
        <v>0</v>
      </c>
      <c r="DC17" s="384">
        <v>0</v>
      </c>
      <c r="DD17" s="384">
        <v>0</v>
      </c>
      <c r="DE17" s="384">
        <v>0</v>
      </c>
      <c r="DF17" s="384">
        <v>0</v>
      </c>
      <c r="DG17" s="384">
        <v>0</v>
      </c>
      <c r="DH17" s="384">
        <v>0</v>
      </c>
      <c r="DI17" s="384">
        <v>0</v>
      </c>
      <c r="DJ17" s="384">
        <v>0</v>
      </c>
      <c r="DK17" s="384">
        <v>1</v>
      </c>
      <c r="DL17" s="384">
        <v>3</v>
      </c>
      <c r="DM17" s="384">
        <v>3</v>
      </c>
      <c r="DN17" s="384">
        <v>3</v>
      </c>
      <c r="DO17" s="384">
        <v>0</v>
      </c>
      <c r="DP17" s="384">
        <v>0</v>
      </c>
      <c r="DQ17" s="384">
        <v>0</v>
      </c>
      <c r="DR17" s="384">
        <v>0</v>
      </c>
      <c r="DS17" s="94">
        <f t="shared" si="19"/>
        <v>0</v>
      </c>
      <c r="DT17" s="94">
        <f t="shared" si="20"/>
        <v>0</v>
      </c>
      <c r="DU17" s="94">
        <f t="shared" si="21"/>
        <v>1</v>
      </c>
      <c r="DV17" s="94">
        <f t="shared" si="22"/>
        <v>9</v>
      </c>
      <c r="DW17" s="94">
        <f t="shared" si="23"/>
        <v>0</v>
      </c>
      <c r="DX17" s="385">
        <v>66</v>
      </c>
      <c r="DY17" s="385">
        <v>46</v>
      </c>
      <c r="DZ17" s="385">
        <v>26</v>
      </c>
      <c r="EA17" s="385">
        <v>73</v>
      </c>
      <c r="EB17" s="96">
        <v>0.78900444999999997</v>
      </c>
      <c r="EC17" s="96">
        <v>0.42233958999999999</v>
      </c>
    </row>
    <row r="18" spans="1:133" ht="12.95" customHeight="1">
      <c r="A18" s="12">
        <v>15</v>
      </c>
      <c r="B18" s="3" t="s">
        <v>61</v>
      </c>
      <c r="C18" s="3" t="s">
        <v>62</v>
      </c>
      <c r="D18" s="4">
        <f t="shared" si="0"/>
        <v>1191</v>
      </c>
      <c r="E18" s="4">
        <f t="shared" si="1"/>
        <v>1100</v>
      </c>
      <c r="F18" s="312">
        <v>0</v>
      </c>
      <c r="G18" s="376">
        <v>43</v>
      </c>
      <c r="H18" s="376">
        <v>86</v>
      </c>
      <c r="I18" s="376">
        <v>242</v>
      </c>
      <c r="J18" s="376">
        <v>284</v>
      </c>
      <c r="K18" s="376">
        <v>536</v>
      </c>
      <c r="L18" s="377">
        <v>529</v>
      </c>
      <c r="M18" s="377">
        <v>51</v>
      </c>
      <c r="N18" s="377">
        <v>166</v>
      </c>
      <c r="O18" s="377">
        <v>413</v>
      </c>
      <c r="P18" s="377">
        <v>32</v>
      </c>
      <c r="Q18" s="378">
        <v>1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5</v>
      </c>
      <c r="Y18" s="378">
        <v>14</v>
      </c>
      <c r="Z18" s="378">
        <v>19</v>
      </c>
      <c r="AA18" s="378">
        <v>84</v>
      </c>
      <c r="AB18" s="378">
        <v>150</v>
      </c>
      <c r="AC18" s="378">
        <v>188</v>
      </c>
      <c r="AD18" s="378">
        <v>205</v>
      </c>
      <c r="AE18" s="378">
        <v>198</v>
      </c>
      <c r="AF18" s="378">
        <v>163</v>
      </c>
      <c r="AG18" s="378">
        <v>104</v>
      </c>
      <c r="AH18" s="378">
        <v>60</v>
      </c>
      <c r="AI18" s="24">
        <f t="shared" si="2"/>
        <v>1</v>
      </c>
      <c r="AJ18" s="24">
        <f t="shared" si="3"/>
        <v>0</v>
      </c>
      <c r="AK18" s="24">
        <f t="shared" si="4"/>
        <v>122</v>
      </c>
      <c r="AL18" s="24">
        <f t="shared" si="5"/>
        <v>741</v>
      </c>
      <c r="AM18" s="24">
        <f t="shared" si="6"/>
        <v>327</v>
      </c>
      <c r="AN18" s="379">
        <v>0</v>
      </c>
      <c r="AO18" s="379">
        <v>0</v>
      </c>
      <c r="AP18" s="379">
        <v>0</v>
      </c>
      <c r="AQ18" s="379">
        <v>0</v>
      </c>
      <c r="AR18" s="379">
        <v>0</v>
      </c>
      <c r="AS18" s="379">
        <v>0</v>
      </c>
      <c r="AT18" s="379">
        <v>0</v>
      </c>
      <c r="AU18" s="379">
        <v>2</v>
      </c>
      <c r="AV18" s="379">
        <v>11</v>
      </c>
      <c r="AW18" s="379">
        <v>19</v>
      </c>
      <c r="AX18" s="379">
        <v>67</v>
      </c>
      <c r="AY18" s="379">
        <v>133</v>
      </c>
      <c r="AZ18" s="379">
        <v>186</v>
      </c>
      <c r="BA18" s="379">
        <v>171</v>
      </c>
      <c r="BB18" s="379">
        <v>198</v>
      </c>
      <c r="BC18" s="379">
        <v>151</v>
      </c>
      <c r="BD18" s="379">
        <v>107</v>
      </c>
      <c r="BE18" s="379">
        <v>55</v>
      </c>
      <c r="BF18" s="93">
        <f t="shared" si="14"/>
        <v>0</v>
      </c>
      <c r="BG18" s="93">
        <f t="shared" si="15"/>
        <v>0</v>
      </c>
      <c r="BH18" s="93">
        <f t="shared" si="16"/>
        <v>99</v>
      </c>
      <c r="BI18" s="93">
        <f t="shared" si="17"/>
        <v>688</v>
      </c>
      <c r="BJ18" s="93">
        <f t="shared" si="18"/>
        <v>313</v>
      </c>
      <c r="BK18" s="380">
        <v>877</v>
      </c>
      <c r="BL18" s="380">
        <v>488</v>
      </c>
      <c r="BM18" s="380">
        <v>258</v>
      </c>
      <c r="BN18" s="380">
        <v>1242</v>
      </c>
      <c r="BO18" s="96">
        <v>0.28383717000000003</v>
      </c>
      <c r="BP18" s="96">
        <v>6.4988699999999996E-2</v>
      </c>
      <c r="BQ18" s="5">
        <f t="shared" si="7"/>
        <v>310</v>
      </c>
      <c r="BR18" s="5">
        <f t="shared" si="8"/>
        <v>246</v>
      </c>
      <c r="BS18" s="309">
        <v>0</v>
      </c>
      <c r="BT18" s="381">
        <v>18</v>
      </c>
      <c r="BU18" s="381">
        <v>22</v>
      </c>
      <c r="BV18" s="381">
        <v>48</v>
      </c>
      <c r="BW18" s="381">
        <v>96</v>
      </c>
      <c r="BX18" s="381">
        <v>126</v>
      </c>
      <c r="BY18" s="382">
        <v>138</v>
      </c>
      <c r="BZ18" s="382">
        <v>8</v>
      </c>
      <c r="CA18" s="382">
        <v>60</v>
      </c>
      <c r="CB18" s="382">
        <v>95</v>
      </c>
      <c r="CC18" s="382">
        <v>9</v>
      </c>
      <c r="CD18" s="383">
        <v>0</v>
      </c>
      <c r="CE18" s="383">
        <v>0</v>
      </c>
      <c r="CF18" s="383">
        <v>0</v>
      </c>
      <c r="CG18" s="383">
        <v>0</v>
      </c>
      <c r="CH18" s="383">
        <v>0</v>
      </c>
      <c r="CI18" s="383">
        <v>2</v>
      </c>
      <c r="CJ18" s="383">
        <v>1</v>
      </c>
      <c r="CK18" s="383">
        <v>2</v>
      </c>
      <c r="CL18" s="383">
        <v>5</v>
      </c>
      <c r="CM18" s="383">
        <v>9</v>
      </c>
      <c r="CN18" s="383">
        <v>15</v>
      </c>
      <c r="CO18" s="383">
        <v>28</v>
      </c>
      <c r="CP18" s="383">
        <v>35</v>
      </c>
      <c r="CQ18" s="383">
        <v>50</v>
      </c>
      <c r="CR18" s="383">
        <v>42</v>
      </c>
      <c r="CS18" s="383">
        <v>43</v>
      </c>
      <c r="CT18" s="383">
        <v>46</v>
      </c>
      <c r="CU18" s="383">
        <v>32</v>
      </c>
      <c r="CV18" s="25">
        <f t="shared" si="9"/>
        <v>0</v>
      </c>
      <c r="CW18" s="25">
        <f t="shared" si="10"/>
        <v>2</v>
      </c>
      <c r="CX18" s="25">
        <f t="shared" si="11"/>
        <v>32</v>
      </c>
      <c r="CY18" s="25">
        <f t="shared" si="12"/>
        <v>155</v>
      </c>
      <c r="CZ18" s="25">
        <f t="shared" si="13"/>
        <v>121</v>
      </c>
      <c r="DA18" s="384">
        <v>0</v>
      </c>
      <c r="DB18" s="384">
        <v>0</v>
      </c>
      <c r="DC18" s="384">
        <v>0</v>
      </c>
      <c r="DD18" s="384">
        <v>0</v>
      </c>
      <c r="DE18" s="384">
        <v>0</v>
      </c>
      <c r="DF18" s="384">
        <v>0</v>
      </c>
      <c r="DG18" s="384">
        <v>0</v>
      </c>
      <c r="DH18" s="384">
        <v>0</v>
      </c>
      <c r="DI18" s="384">
        <v>4</v>
      </c>
      <c r="DJ18" s="384">
        <v>4</v>
      </c>
      <c r="DK18" s="384">
        <v>12</v>
      </c>
      <c r="DL18" s="384">
        <v>21</v>
      </c>
      <c r="DM18" s="384">
        <v>28</v>
      </c>
      <c r="DN18" s="384">
        <v>32</v>
      </c>
      <c r="DO18" s="384">
        <v>30</v>
      </c>
      <c r="DP18" s="384">
        <v>41</v>
      </c>
      <c r="DQ18" s="384">
        <v>45</v>
      </c>
      <c r="DR18" s="384">
        <v>29</v>
      </c>
      <c r="DS18" s="94">
        <f t="shared" si="19"/>
        <v>0</v>
      </c>
      <c r="DT18" s="94">
        <f t="shared" si="20"/>
        <v>0</v>
      </c>
      <c r="DU18" s="94">
        <f t="shared" si="21"/>
        <v>20</v>
      </c>
      <c r="DV18" s="94">
        <f t="shared" si="22"/>
        <v>111</v>
      </c>
      <c r="DW18" s="94">
        <f t="shared" si="23"/>
        <v>115</v>
      </c>
      <c r="DX18" s="385">
        <v>375</v>
      </c>
      <c r="DY18" s="385">
        <v>214</v>
      </c>
      <c r="DZ18" s="385">
        <v>119</v>
      </c>
      <c r="EA18" s="385">
        <v>487</v>
      </c>
      <c r="EB18" s="96">
        <v>0.30644852</v>
      </c>
      <c r="EC18" s="96">
        <v>0.13344914999999999</v>
      </c>
    </row>
    <row r="19" spans="1:133" ht="12.95" customHeight="1">
      <c r="A19" s="2">
        <v>16</v>
      </c>
      <c r="B19" s="3" t="s">
        <v>63</v>
      </c>
      <c r="C19" s="3" t="s">
        <v>64</v>
      </c>
      <c r="D19" s="4">
        <f t="shared" si="0"/>
        <v>12</v>
      </c>
      <c r="E19" s="4">
        <f t="shared" si="1"/>
        <v>14</v>
      </c>
      <c r="F19" s="312">
        <v>0</v>
      </c>
      <c r="G19" s="376">
        <v>0</v>
      </c>
      <c r="H19" s="376">
        <v>0</v>
      </c>
      <c r="I19" s="376">
        <v>1</v>
      </c>
      <c r="J19" s="376">
        <v>0</v>
      </c>
      <c r="K19" s="376">
        <v>11</v>
      </c>
      <c r="L19" s="377">
        <v>1</v>
      </c>
      <c r="M19" s="377">
        <v>0</v>
      </c>
      <c r="N19" s="377">
        <v>1</v>
      </c>
      <c r="O19" s="377">
        <v>10</v>
      </c>
      <c r="P19" s="377">
        <v>0</v>
      </c>
      <c r="Q19" s="378">
        <v>1</v>
      </c>
      <c r="R19" s="378">
        <v>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6</v>
      </c>
      <c r="AE19" s="378">
        <v>1</v>
      </c>
      <c r="AF19" s="378">
        <v>2</v>
      </c>
      <c r="AG19" s="378">
        <v>2</v>
      </c>
      <c r="AH19" s="378">
        <v>0</v>
      </c>
      <c r="AI19" s="24">
        <f t="shared" si="2"/>
        <v>1</v>
      </c>
      <c r="AJ19" s="24">
        <f t="shared" si="3"/>
        <v>0</v>
      </c>
      <c r="AK19" s="24">
        <f t="shared" si="4"/>
        <v>0</v>
      </c>
      <c r="AL19" s="24">
        <f t="shared" si="5"/>
        <v>7</v>
      </c>
      <c r="AM19" s="24">
        <f t="shared" si="6"/>
        <v>4</v>
      </c>
      <c r="AN19" s="379">
        <v>0</v>
      </c>
      <c r="AO19" s="379">
        <v>0</v>
      </c>
      <c r="AP19" s="379">
        <v>0</v>
      </c>
      <c r="AQ19" s="379">
        <v>0</v>
      </c>
      <c r="AR19" s="379">
        <v>0</v>
      </c>
      <c r="AS19" s="379">
        <v>0</v>
      </c>
      <c r="AT19" s="379">
        <v>0</v>
      </c>
      <c r="AU19" s="379">
        <v>0</v>
      </c>
      <c r="AV19" s="379">
        <v>0</v>
      </c>
      <c r="AW19" s="379">
        <v>0</v>
      </c>
      <c r="AX19" s="379">
        <v>0</v>
      </c>
      <c r="AY19" s="379">
        <v>0</v>
      </c>
      <c r="AZ19" s="379">
        <v>2</v>
      </c>
      <c r="BA19" s="379">
        <v>5</v>
      </c>
      <c r="BB19" s="379">
        <v>2</v>
      </c>
      <c r="BC19" s="379">
        <v>2</v>
      </c>
      <c r="BD19" s="379">
        <v>3</v>
      </c>
      <c r="BE19" s="379">
        <v>0</v>
      </c>
      <c r="BF19" s="93">
        <f t="shared" si="14"/>
        <v>0</v>
      </c>
      <c r="BG19" s="93">
        <f t="shared" si="15"/>
        <v>0</v>
      </c>
      <c r="BH19" s="93">
        <f t="shared" si="16"/>
        <v>0</v>
      </c>
      <c r="BI19" s="93">
        <f t="shared" si="17"/>
        <v>9</v>
      </c>
      <c r="BJ19" s="93">
        <f t="shared" si="18"/>
        <v>5</v>
      </c>
      <c r="BK19" s="380">
        <v>34</v>
      </c>
      <c r="BL19" s="380">
        <v>28</v>
      </c>
      <c r="BM19" s="380">
        <v>16</v>
      </c>
      <c r="BN19" s="380">
        <v>36</v>
      </c>
      <c r="BO19" s="96">
        <v>0.38731366</v>
      </c>
      <c r="BP19" s="96">
        <v>0.41877088000000001</v>
      </c>
      <c r="BQ19" s="5">
        <f t="shared" si="7"/>
        <v>6</v>
      </c>
      <c r="BR19" s="5">
        <f t="shared" si="8"/>
        <v>4</v>
      </c>
      <c r="BS19" s="309">
        <v>0</v>
      </c>
      <c r="BT19" s="381">
        <v>0</v>
      </c>
      <c r="BU19" s="381">
        <v>1</v>
      </c>
      <c r="BV19" s="381">
        <v>0</v>
      </c>
      <c r="BW19" s="381">
        <v>0</v>
      </c>
      <c r="BX19" s="381">
        <v>5</v>
      </c>
      <c r="BY19" s="382">
        <v>2</v>
      </c>
      <c r="BZ19" s="382">
        <v>0</v>
      </c>
      <c r="CA19" s="382">
        <v>0</v>
      </c>
      <c r="CB19" s="382">
        <v>2</v>
      </c>
      <c r="CC19" s="382">
        <v>2</v>
      </c>
      <c r="CD19" s="383">
        <v>0</v>
      </c>
      <c r="CE19" s="383">
        <v>0</v>
      </c>
      <c r="CF19" s="383">
        <v>0</v>
      </c>
      <c r="CG19" s="383">
        <v>0</v>
      </c>
      <c r="CH19" s="383">
        <v>0</v>
      </c>
      <c r="CI19" s="383">
        <v>0</v>
      </c>
      <c r="CJ19" s="383">
        <v>0</v>
      </c>
      <c r="CK19" s="383">
        <v>0</v>
      </c>
      <c r="CL19" s="383">
        <v>0</v>
      </c>
      <c r="CM19" s="383">
        <v>0</v>
      </c>
      <c r="CN19" s="383">
        <v>1</v>
      </c>
      <c r="CO19" s="383">
        <v>1</v>
      </c>
      <c r="CP19" s="383">
        <v>1</v>
      </c>
      <c r="CQ19" s="383">
        <v>1</v>
      </c>
      <c r="CR19" s="383">
        <v>1</v>
      </c>
      <c r="CS19" s="383">
        <v>0</v>
      </c>
      <c r="CT19" s="383">
        <v>1</v>
      </c>
      <c r="CU19" s="383">
        <v>0</v>
      </c>
      <c r="CV19" s="25">
        <f t="shared" si="9"/>
        <v>0</v>
      </c>
      <c r="CW19" s="25">
        <f t="shared" si="10"/>
        <v>0</v>
      </c>
      <c r="CX19" s="25">
        <f t="shared" si="11"/>
        <v>1</v>
      </c>
      <c r="CY19" s="25">
        <f t="shared" si="12"/>
        <v>4</v>
      </c>
      <c r="CZ19" s="25">
        <f t="shared" si="13"/>
        <v>1</v>
      </c>
      <c r="DA19" s="384">
        <v>0</v>
      </c>
      <c r="DB19" s="384">
        <v>0</v>
      </c>
      <c r="DC19" s="384">
        <v>0</v>
      </c>
      <c r="DD19" s="384">
        <v>0</v>
      </c>
      <c r="DE19" s="384">
        <v>0</v>
      </c>
      <c r="DF19" s="384">
        <v>0</v>
      </c>
      <c r="DG19" s="384">
        <v>0</v>
      </c>
      <c r="DH19" s="384">
        <v>0</v>
      </c>
      <c r="DI19" s="384">
        <v>0</v>
      </c>
      <c r="DJ19" s="384">
        <v>0</v>
      </c>
      <c r="DK19" s="384">
        <v>1</v>
      </c>
      <c r="DL19" s="384">
        <v>0</v>
      </c>
      <c r="DM19" s="384">
        <v>0</v>
      </c>
      <c r="DN19" s="384">
        <v>0</v>
      </c>
      <c r="DO19" s="384">
        <v>1</v>
      </c>
      <c r="DP19" s="384">
        <v>0</v>
      </c>
      <c r="DQ19" s="384">
        <v>1</v>
      </c>
      <c r="DR19" s="384">
        <v>1</v>
      </c>
      <c r="DS19" s="94">
        <f t="shared" si="19"/>
        <v>0</v>
      </c>
      <c r="DT19" s="94">
        <f t="shared" si="20"/>
        <v>0</v>
      </c>
      <c r="DU19" s="94">
        <f t="shared" si="21"/>
        <v>1</v>
      </c>
      <c r="DV19" s="94">
        <f t="shared" si="22"/>
        <v>1</v>
      </c>
      <c r="DW19" s="94">
        <f t="shared" si="23"/>
        <v>2</v>
      </c>
      <c r="DX19" s="385">
        <v>30</v>
      </c>
      <c r="DY19" s="385">
        <v>25</v>
      </c>
      <c r="DZ19" s="385">
        <v>16</v>
      </c>
      <c r="EA19" s="385">
        <v>32</v>
      </c>
      <c r="EB19" s="96">
        <v>0.68970275000000003</v>
      </c>
      <c r="EC19" s="96">
        <v>0.34904080999999998</v>
      </c>
    </row>
    <row r="20" spans="1:133" ht="12.95" customHeight="1">
      <c r="A20" s="12">
        <v>17</v>
      </c>
      <c r="B20" s="3" t="s">
        <v>65</v>
      </c>
      <c r="C20" s="3" t="s">
        <v>66</v>
      </c>
      <c r="D20" s="4">
        <f t="shared" si="0"/>
        <v>53</v>
      </c>
      <c r="E20" s="4">
        <f t="shared" si="1"/>
        <v>33</v>
      </c>
      <c r="F20" s="312">
        <v>0</v>
      </c>
      <c r="G20" s="376">
        <v>9</v>
      </c>
      <c r="H20" s="376">
        <v>9</v>
      </c>
      <c r="I20" s="376">
        <v>6</v>
      </c>
      <c r="J20" s="376">
        <v>7</v>
      </c>
      <c r="K20" s="376">
        <v>22</v>
      </c>
      <c r="L20" s="377">
        <v>42</v>
      </c>
      <c r="M20" s="377">
        <v>1</v>
      </c>
      <c r="N20" s="377">
        <v>1</v>
      </c>
      <c r="O20" s="377">
        <v>8</v>
      </c>
      <c r="P20" s="377">
        <v>1</v>
      </c>
      <c r="Q20" s="378">
        <v>2</v>
      </c>
      <c r="R20" s="378">
        <v>1</v>
      </c>
      <c r="S20" s="378">
        <v>3</v>
      </c>
      <c r="T20" s="378">
        <v>0</v>
      </c>
      <c r="U20" s="378">
        <v>1</v>
      </c>
      <c r="V20" s="378">
        <v>1</v>
      </c>
      <c r="W20" s="378">
        <v>2</v>
      </c>
      <c r="X20" s="378">
        <v>4</v>
      </c>
      <c r="Y20" s="378">
        <v>2</v>
      </c>
      <c r="Z20" s="378">
        <v>0</v>
      </c>
      <c r="AA20" s="378">
        <v>4</v>
      </c>
      <c r="AB20" s="378">
        <v>7</v>
      </c>
      <c r="AC20" s="378">
        <v>7</v>
      </c>
      <c r="AD20" s="378">
        <v>0</v>
      </c>
      <c r="AE20" s="378">
        <v>6</v>
      </c>
      <c r="AF20" s="378">
        <v>3</v>
      </c>
      <c r="AG20" s="378">
        <v>5</v>
      </c>
      <c r="AH20" s="378">
        <v>5</v>
      </c>
      <c r="AI20" s="24">
        <f t="shared" si="2"/>
        <v>6</v>
      </c>
      <c r="AJ20" s="24">
        <f t="shared" si="3"/>
        <v>2</v>
      </c>
      <c r="AK20" s="24">
        <f t="shared" si="4"/>
        <v>12</v>
      </c>
      <c r="AL20" s="24">
        <f t="shared" si="5"/>
        <v>20</v>
      </c>
      <c r="AM20" s="24">
        <f t="shared" si="6"/>
        <v>13</v>
      </c>
      <c r="AN20" s="379">
        <v>1</v>
      </c>
      <c r="AO20" s="379">
        <v>0</v>
      </c>
      <c r="AP20" s="379">
        <v>1</v>
      </c>
      <c r="AQ20" s="379">
        <v>0</v>
      </c>
      <c r="AR20" s="379">
        <v>0</v>
      </c>
      <c r="AS20" s="379">
        <v>2</v>
      </c>
      <c r="AT20" s="379">
        <v>2</v>
      </c>
      <c r="AU20" s="379">
        <v>3</v>
      </c>
      <c r="AV20" s="379">
        <v>1</v>
      </c>
      <c r="AW20" s="379">
        <v>2</v>
      </c>
      <c r="AX20" s="379">
        <v>4</v>
      </c>
      <c r="AY20" s="379">
        <v>4</v>
      </c>
      <c r="AZ20" s="379">
        <v>1</v>
      </c>
      <c r="BA20" s="379">
        <v>2</v>
      </c>
      <c r="BB20" s="379">
        <v>3</v>
      </c>
      <c r="BC20" s="379">
        <v>3</v>
      </c>
      <c r="BD20" s="379">
        <v>2</v>
      </c>
      <c r="BE20" s="379">
        <v>2</v>
      </c>
      <c r="BF20" s="93">
        <f t="shared" si="14"/>
        <v>2</v>
      </c>
      <c r="BG20" s="93">
        <f t="shared" si="15"/>
        <v>2</v>
      </c>
      <c r="BH20" s="93">
        <f t="shared" si="16"/>
        <v>12</v>
      </c>
      <c r="BI20" s="93">
        <f t="shared" si="17"/>
        <v>10</v>
      </c>
      <c r="BJ20" s="93">
        <f t="shared" si="18"/>
        <v>7</v>
      </c>
      <c r="BK20" s="380">
        <v>361</v>
      </c>
      <c r="BL20" s="380">
        <v>241</v>
      </c>
      <c r="BM20" s="380">
        <v>155</v>
      </c>
      <c r="BN20" s="380">
        <v>395</v>
      </c>
      <c r="BO20" s="96">
        <v>0.7377494</v>
      </c>
      <c r="BP20" s="96">
        <v>0.40351385000000001</v>
      </c>
      <c r="BQ20" s="5">
        <f t="shared" si="7"/>
        <v>70</v>
      </c>
      <c r="BR20" s="5">
        <f t="shared" si="8"/>
        <v>42</v>
      </c>
      <c r="BS20" s="309">
        <v>0</v>
      </c>
      <c r="BT20" s="381">
        <v>11</v>
      </c>
      <c r="BU20" s="381">
        <v>4</v>
      </c>
      <c r="BV20" s="381">
        <v>6</v>
      </c>
      <c r="BW20" s="381">
        <v>10</v>
      </c>
      <c r="BX20" s="381">
        <v>39</v>
      </c>
      <c r="BY20" s="382">
        <v>50</v>
      </c>
      <c r="BZ20" s="382">
        <v>0</v>
      </c>
      <c r="CA20" s="382">
        <v>2</v>
      </c>
      <c r="CB20" s="382">
        <v>17</v>
      </c>
      <c r="CC20" s="382">
        <v>1</v>
      </c>
      <c r="CD20" s="383">
        <v>0</v>
      </c>
      <c r="CE20" s="383">
        <v>1</v>
      </c>
      <c r="CF20" s="383">
        <v>0</v>
      </c>
      <c r="CG20" s="383">
        <v>4</v>
      </c>
      <c r="CH20" s="383">
        <v>3</v>
      </c>
      <c r="CI20" s="383">
        <v>0</v>
      </c>
      <c r="CJ20" s="383">
        <v>2</v>
      </c>
      <c r="CK20" s="383">
        <v>1</v>
      </c>
      <c r="CL20" s="383">
        <v>5</v>
      </c>
      <c r="CM20" s="383">
        <v>1</v>
      </c>
      <c r="CN20" s="383">
        <v>2</v>
      </c>
      <c r="CO20" s="383">
        <v>3</v>
      </c>
      <c r="CP20" s="383">
        <v>8</v>
      </c>
      <c r="CQ20" s="383">
        <v>5</v>
      </c>
      <c r="CR20" s="383">
        <v>8</v>
      </c>
      <c r="CS20" s="383">
        <v>10</v>
      </c>
      <c r="CT20" s="383">
        <v>11</v>
      </c>
      <c r="CU20" s="383">
        <v>6</v>
      </c>
      <c r="CV20" s="25">
        <f t="shared" si="9"/>
        <v>1</v>
      </c>
      <c r="CW20" s="25">
        <f t="shared" si="10"/>
        <v>7</v>
      </c>
      <c r="CX20" s="25">
        <f t="shared" si="11"/>
        <v>11</v>
      </c>
      <c r="CY20" s="25">
        <f t="shared" si="12"/>
        <v>24</v>
      </c>
      <c r="CZ20" s="25">
        <f t="shared" si="13"/>
        <v>27</v>
      </c>
      <c r="DA20" s="384">
        <v>0</v>
      </c>
      <c r="DB20" s="384">
        <v>0</v>
      </c>
      <c r="DC20" s="384">
        <v>0</v>
      </c>
      <c r="DD20" s="384">
        <v>2</v>
      </c>
      <c r="DE20" s="384">
        <v>0</v>
      </c>
      <c r="DF20" s="384">
        <v>0</v>
      </c>
      <c r="DG20" s="384">
        <v>0</v>
      </c>
      <c r="DH20" s="384">
        <v>1</v>
      </c>
      <c r="DI20" s="384">
        <v>1</v>
      </c>
      <c r="DJ20" s="384">
        <v>3</v>
      </c>
      <c r="DK20" s="384">
        <v>3</v>
      </c>
      <c r="DL20" s="384">
        <v>2</v>
      </c>
      <c r="DM20" s="384">
        <v>5</v>
      </c>
      <c r="DN20" s="384">
        <v>5</v>
      </c>
      <c r="DO20" s="384">
        <v>5</v>
      </c>
      <c r="DP20" s="384">
        <v>6</v>
      </c>
      <c r="DQ20" s="384">
        <v>7</v>
      </c>
      <c r="DR20" s="384">
        <v>2</v>
      </c>
      <c r="DS20" s="94">
        <f t="shared" si="19"/>
        <v>0</v>
      </c>
      <c r="DT20" s="94">
        <f t="shared" si="20"/>
        <v>2</v>
      </c>
      <c r="DU20" s="94">
        <f t="shared" si="21"/>
        <v>8</v>
      </c>
      <c r="DV20" s="94">
        <f t="shared" si="22"/>
        <v>17</v>
      </c>
      <c r="DW20" s="94">
        <f t="shared" si="23"/>
        <v>15</v>
      </c>
      <c r="DX20" s="385">
        <v>472</v>
      </c>
      <c r="DY20" s="385">
        <v>366</v>
      </c>
      <c r="DZ20" s="385">
        <v>226</v>
      </c>
      <c r="EA20" s="385">
        <v>510</v>
      </c>
      <c r="EB20" s="96">
        <v>0.80644512000000002</v>
      </c>
      <c r="EC20" s="96">
        <v>0.56265544999999995</v>
      </c>
    </row>
    <row r="21" spans="1:133" ht="12.95" customHeight="1">
      <c r="A21" s="2">
        <v>18</v>
      </c>
      <c r="B21" s="3" t="s">
        <v>67</v>
      </c>
      <c r="C21" s="3" t="s">
        <v>68</v>
      </c>
      <c r="D21" s="4">
        <f t="shared" si="0"/>
        <v>139</v>
      </c>
      <c r="E21" s="4">
        <f t="shared" si="1"/>
        <v>49</v>
      </c>
      <c r="F21" s="312">
        <v>0</v>
      </c>
      <c r="G21" s="376">
        <v>55</v>
      </c>
      <c r="H21" s="376">
        <v>50</v>
      </c>
      <c r="I21" s="376">
        <v>15</v>
      </c>
      <c r="J21" s="376">
        <v>5</v>
      </c>
      <c r="K21" s="376">
        <v>14</v>
      </c>
      <c r="L21" s="377">
        <v>126</v>
      </c>
      <c r="M21" s="377">
        <v>2</v>
      </c>
      <c r="N21" s="377">
        <v>0</v>
      </c>
      <c r="O21" s="377">
        <v>10</v>
      </c>
      <c r="P21" s="377">
        <v>1</v>
      </c>
      <c r="Q21" s="378">
        <v>0</v>
      </c>
      <c r="R21" s="378">
        <v>0</v>
      </c>
      <c r="S21" s="378">
        <v>0</v>
      </c>
      <c r="T21" s="378">
        <v>0</v>
      </c>
      <c r="U21" s="378">
        <v>2</v>
      </c>
      <c r="V21" s="378">
        <v>1</v>
      </c>
      <c r="W21" s="378">
        <v>1</v>
      </c>
      <c r="X21" s="378">
        <v>6</v>
      </c>
      <c r="Y21" s="378">
        <v>10</v>
      </c>
      <c r="Z21" s="378">
        <v>12</v>
      </c>
      <c r="AA21" s="378">
        <v>15</v>
      </c>
      <c r="AB21" s="378">
        <v>17</v>
      </c>
      <c r="AC21" s="378">
        <v>16</v>
      </c>
      <c r="AD21" s="378">
        <v>14</v>
      </c>
      <c r="AE21" s="378">
        <v>14</v>
      </c>
      <c r="AF21" s="378">
        <v>15</v>
      </c>
      <c r="AG21" s="378">
        <v>9</v>
      </c>
      <c r="AH21" s="378">
        <v>7</v>
      </c>
      <c r="AI21" s="24">
        <f t="shared" si="2"/>
        <v>0</v>
      </c>
      <c r="AJ21" s="24">
        <f t="shared" si="3"/>
        <v>3</v>
      </c>
      <c r="AK21" s="24">
        <f t="shared" si="4"/>
        <v>44</v>
      </c>
      <c r="AL21" s="24">
        <f t="shared" si="5"/>
        <v>61</v>
      </c>
      <c r="AM21" s="24">
        <f t="shared" si="6"/>
        <v>31</v>
      </c>
      <c r="AN21" s="379">
        <v>0</v>
      </c>
      <c r="AO21" s="379">
        <v>0</v>
      </c>
      <c r="AP21" s="379">
        <v>0</v>
      </c>
      <c r="AQ21" s="379">
        <v>0</v>
      </c>
      <c r="AR21" s="379">
        <v>0</v>
      </c>
      <c r="AS21" s="379">
        <v>1</v>
      </c>
      <c r="AT21" s="379">
        <v>5</v>
      </c>
      <c r="AU21" s="379">
        <v>0</v>
      </c>
      <c r="AV21" s="379">
        <v>2</v>
      </c>
      <c r="AW21" s="379">
        <v>1</v>
      </c>
      <c r="AX21" s="379">
        <v>6</v>
      </c>
      <c r="AY21" s="379">
        <v>6</v>
      </c>
      <c r="AZ21" s="379">
        <v>2</v>
      </c>
      <c r="BA21" s="379">
        <v>4</v>
      </c>
      <c r="BB21" s="379">
        <v>7</v>
      </c>
      <c r="BC21" s="379">
        <v>7</v>
      </c>
      <c r="BD21" s="379">
        <v>3</v>
      </c>
      <c r="BE21" s="379">
        <v>5</v>
      </c>
      <c r="BF21" s="93">
        <f t="shared" si="14"/>
        <v>0</v>
      </c>
      <c r="BG21" s="93">
        <f t="shared" si="15"/>
        <v>1</v>
      </c>
      <c r="BH21" s="93">
        <f t="shared" si="16"/>
        <v>14</v>
      </c>
      <c r="BI21" s="93">
        <f t="shared" si="17"/>
        <v>19</v>
      </c>
      <c r="BJ21" s="93">
        <f t="shared" si="18"/>
        <v>15</v>
      </c>
      <c r="BK21" s="380">
        <v>747</v>
      </c>
      <c r="BL21" s="380">
        <v>473</v>
      </c>
      <c r="BM21" s="380">
        <v>266</v>
      </c>
      <c r="BN21" s="380">
        <v>845</v>
      </c>
      <c r="BO21" s="96">
        <v>0.8365165</v>
      </c>
      <c r="BP21" s="96">
        <v>0.60399245999999995</v>
      </c>
      <c r="BQ21" s="5">
        <f t="shared" si="7"/>
        <v>207</v>
      </c>
      <c r="BR21" s="5">
        <f t="shared" si="8"/>
        <v>54</v>
      </c>
      <c r="BS21" s="309">
        <v>0</v>
      </c>
      <c r="BT21" s="381">
        <v>93</v>
      </c>
      <c r="BU21" s="381">
        <v>81</v>
      </c>
      <c r="BV21" s="381">
        <v>12</v>
      </c>
      <c r="BW21" s="381">
        <v>4</v>
      </c>
      <c r="BX21" s="381">
        <v>17</v>
      </c>
      <c r="BY21" s="382">
        <v>180</v>
      </c>
      <c r="BZ21" s="382">
        <v>13</v>
      </c>
      <c r="CA21" s="382">
        <v>1</v>
      </c>
      <c r="CB21" s="382">
        <v>12</v>
      </c>
      <c r="CC21" s="382">
        <v>1</v>
      </c>
      <c r="CD21" s="383">
        <v>0</v>
      </c>
      <c r="CE21" s="383">
        <v>0</v>
      </c>
      <c r="CF21" s="383">
        <v>0</v>
      </c>
      <c r="CG21" s="383">
        <v>0</v>
      </c>
      <c r="CH21" s="383">
        <v>2</v>
      </c>
      <c r="CI21" s="383">
        <v>3</v>
      </c>
      <c r="CJ21" s="383">
        <v>6</v>
      </c>
      <c r="CK21" s="383">
        <v>4</v>
      </c>
      <c r="CL21" s="383">
        <v>11</v>
      </c>
      <c r="CM21" s="383">
        <v>7</v>
      </c>
      <c r="CN21" s="383">
        <v>12</v>
      </c>
      <c r="CO21" s="383">
        <v>21</v>
      </c>
      <c r="CP21" s="383">
        <v>16</v>
      </c>
      <c r="CQ21" s="383">
        <v>24</v>
      </c>
      <c r="CR21" s="383">
        <v>33</v>
      </c>
      <c r="CS21" s="383">
        <v>34</v>
      </c>
      <c r="CT21" s="383">
        <v>21</v>
      </c>
      <c r="CU21" s="383">
        <v>13</v>
      </c>
      <c r="CV21" s="25">
        <f t="shared" si="9"/>
        <v>0</v>
      </c>
      <c r="CW21" s="25">
        <f t="shared" si="10"/>
        <v>5</v>
      </c>
      <c r="CX21" s="25">
        <f t="shared" si="11"/>
        <v>40</v>
      </c>
      <c r="CY21" s="25">
        <f t="shared" si="12"/>
        <v>94</v>
      </c>
      <c r="CZ21" s="25">
        <f t="shared" si="13"/>
        <v>68</v>
      </c>
      <c r="DA21" s="384">
        <v>0</v>
      </c>
      <c r="DB21" s="384">
        <v>0</v>
      </c>
      <c r="DC21" s="384">
        <v>0</v>
      </c>
      <c r="DD21" s="384">
        <v>0</v>
      </c>
      <c r="DE21" s="384">
        <v>0</v>
      </c>
      <c r="DF21" s="384">
        <v>0</v>
      </c>
      <c r="DG21" s="384">
        <v>0</v>
      </c>
      <c r="DH21" s="384">
        <v>0</v>
      </c>
      <c r="DI21" s="384">
        <v>0</v>
      </c>
      <c r="DJ21" s="384">
        <v>2</v>
      </c>
      <c r="DK21" s="384">
        <v>4</v>
      </c>
      <c r="DL21" s="384">
        <v>8</v>
      </c>
      <c r="DM21" s="384">
        <v>3</v>
      </c>
      <c r="DN21" s="384">
        <v>2</v>
      </c>
      <c r="DO21" s="384">
        <v>9</v>
      </c>
      <c r="DP21" s="384">
        <v>13</v>
      </c>
      <c r="DQ21" s="384">
        <v>6</v>
      </c>
      <c r="DR21" s="384">
        <v>7</v>
      </c>
      <c r="DS21" s="94">
        <f t="shared" si="19"/>
        <v>0</v>
      </c>
      <c r="DT21" s="94">
        <f t="shared" si="20"/>
        <v>0</v>
      </c>
      <c r="DU21" s="94">
        <f t="shared" si="21"/>
        <v>6</v>
      </c>
      <c r="DV21" s="94">
        <f t="shared" si="22"/>
        <v>22</v>
      </c>
      <c r="DW21" s="94">
        <f t="shared" si="23"/>
        <v>26</v>
      </c>
      <c r="DX21" s="385">
        <v>1837</v>
      </c>
      <c r="DY21" s="385">
        <v>1292</v>
      </c>
      <c r="DZ21" s="385">
        <v>778</v>
      </c>
      <c r="EA21" s="385">
        <v>2005</v>
      </c>
      <c r="EB21" s="96">
        <v>0.90957164999999995</v>
      </c>
      <c r="EC21" s="96">
        <v>0.76363616999999995</v>
      </c>
    </row>
    <row r="22" spans="1:133" ht="12.95" customHeight="1">
      <c r="A22" s="12">
        <v>19</v>
      </c>
      <c r="B22" s="3" t="s">
        <v>69</v>
      </c>
      <c r="C22" s="3" t="s">
        <v>70</v>
      </c>
      <c r="D22" s="4">
        <f t="shared" si="0"/>
        <v>823</v>
      </c>
      <c r="E22" s="4">
        <f t="shared" si="1"/>
        <v>22</v>
      </c>
      <c r="F22" s="312">
        <v>0</v>
      </c>
      <c r="G22" s="376">
        <v>531</v>
      </c>
      <c r="H22" s="376">
        <v>234</v>
      </c>
      <c r="I22" s="376">
        <v>8</v>
      </c>
      <c r="J22" s="376">
        <v>4</v>
      </c>
      <c r="K22" s="376">
        <v>46</v>
      </c>
      <c r="L22" s="377">
        <v>757</v>
      </c>
      <c r="M22" s="377">
        <v>54</v>
      </c>
      <c r="N22" s="377">
        <v>4</v>
      </c>
      <c r="O22" s="377">
        <v>8</v>
      </c>
      <c r="P22" s="377">
        <v>0</v>
      </c>
      <c r="Q22" s="378">
        <v>0</v>
      </c>
      <c r="R22" s="378">
        <v>0</v>
      </c>
      <c r="S22" s="378">
        <v>0</v>
      </c>
      <c r="T22" s="378">
        <v>0</v>
      </c>
      <c r="U22" s="378">
        <v>1</v>
      </c>
      <c r="V22" s="378">
        <v>7</v>
      </c>
      <c r="W22" s="378">
        <v>4</v>
      </c>
      <c r="X22" s="378">
        <v>10</v>
      </c>
      <c r="Y22" s="378">
        <v>19</v>
      </c>
      <c r="Z22" s="378">
        <v>27</v>
      </c>
      <c r="AA22" s="378">
        <v>49</v>
      </c>
      <c r="AB22" s="378">
        <v>68</v>
      </c>
      <c r="AC22" s="378">
        <v>76</v>
      </c>
      <c r="AD22" s="378">
        <v>125</v>
      </c>
      <c r="AE22" s="378">
        <v>121</v>
      </c>
      <c r="AF22" s="378">
        <v>132</v>
      </c>
      <c r="AG22" s="378">
        <v>103</v>
      </c>
      <c r="AH22" s="378">
        <v>81</v>
      </c>
      <c r="AI22" s="24">
        <f t="shared" si="2"/>
        <v>0</v>
      </c>
      <c r="AJ22" s="24">
        <f t="shared" si="3"/>
        <v>8</v>
      </c>
      <c r="AK22" s="24">
        <f t="shared" si="4"/>
        <v>109</v>
      </c>
      <c r="AL22" s="24">
        <f t="shared" si="5"/>
        <v>390</v>
      </c>
      <c r="AM22" s="24">
        <f t="shared" si="6"/>
        <v>316</v>
      </c>
      <c r="AN22" s="379">
        <v>0</v>
      </c>
      <c r="AO22" s="379">
        <v>0</v>
      </c>
      <c r="AP22" s="379">
        <v>0</v>
      </c>
      <c r="AQ22" s="379">
        <v>0</v>
      </c>
      <c r="AR22" s="379">
        <v>0</v>
      </c>
      <c r="AS22" s="379">
        <v>0</v>
      </c>
      <c r="AT22" s="379">
        <v>0</v>
      </c>
      <c r="AU22" s="379">
        <v>0</v>
      </c>
      <c r="AV22" s="379">
        <v>0</v>
      </c>
      <c r="AW22" s="379">
        <v>1</v>
      </c>
      <c r="AX22" s="379">
        <v>1</v>
      </c>
      <c r="AY22" s="379">
        <v>2</v>
      </c>
      <c r="AZ22" s="379">
        <v>2</v>
      </c>
      <c r="BA22" s="379">
        <v>1</v>
      </c>
      <c r="BB22" s="379">
        <v>4</v>
      </c>
      <c r="BC22" s="379">
        <v>4</v>
      </c>
      <c r="BD22" s="379">
        <v>4</v>
      </c>
      <c r="BE22" s="379">
        <v>3</v>
      </c>
      <c r="BF22" s="93">
        <f t="shared" si="14"/>
        <v>0</v>
      </c>
      <c r="BG22" s="93">
        <f t="shared" si="15"/>
        <v>0</v>
      </c>
      <c r="BH22" s="93">
        <f t="shared" si="16"/>
        <v>2</v>
      </c>
      <c r="BI22" s="93">
        <f t="shared" si="17"/>
        <v>9</v>
      </c>
      <c r="BJ22" s="93">
        <f t="shared" si="18"/>
        <v>11</v>
      </c>
      <c r="BK22" s="380">
        <v>3154</v>
      </c>
      <c r="BL22" s="380">
        <v>679</v>
      </c>
      <c r="BM22" s="380">
        <v>415</v>
      </c>
      <c r="BN22" s="380">
        <v>3793</v>
      </c>
      <c r="BO22" s="96"/>
      <c r="BP22" s="96"/>
      <c r="BQ22" s="5">
        <f t="shared" si="7"/>
        <v>1414</v>
      </c>
      <c r="BR22" s="5">
        <f t="shared" si="8"/>
        <v>23</v>
      </c>
      <c r="BS22" s="309">
        <v>0</v>
      </c>
      <c r="BT22" s="381">
        <v>1021</v>
      </c>
      <c r="BU22" s="381">
        <v>279</v>
      </c>
      <c r="BV22" s="381">
        <v>14</v>
      </c>
      <c r="BW22" s="381">
        <v>4</v>
      </c>
      <c r="BX22" s="381">
        <v>96</v>
      </c>
      <c r="BY22" s="382">
        <v>1246</v>
      </c>
      <c r="BZ22" s="382">
        <v>154</v>
      </c>
      <c r="CA22" s="382">
        <v>3</v>
      </c>
      <c r="CB22" s="382">
        <v>9</v>
      </c>
      <c r="CC22" s="382">
        <v>2</v>
      </c>
      <c r="CD22" s="383">
        <v>0</v>
      </c>
      <c r="CE22" s="383">
        <v>0</v>
      </c>
      <c r="CF22" s="383">
        <v>0</v>
      </c>
      <c r="CG22" s="383">
        <v>1</v>
      </c>
      <c r="CH22" s="383">
        <v>2</v>
      </c>
      <c r="CI22" s="383">
        <v>7</v>
      </c>
      <c r="CJ22" s="383">
        <v>15</v>
      </c>
      <c r="CK22" s="383">
        <v>23</v>
      </c>
      <c r="CL22" s="383">
        <v>27</v>
      </c>
      <c r="CM22" s="383">
        <v>44</v>
      </c>
      <c r="CN22" s="383">
        <v>67</v>
      </c>
      <c r="CO22" s="383">
        <v>104</v>
      </c>
      <c r="CP22" s="383">
        <v>118</v>
      </c>
      <c r="CQ22" s="383">
        <v>169</v>
      </c>
      <c r="CR22" s="383">
        <v>210</v>
      </c>
      <c r="CS22" s="383">
        <v>254</v>
      </c>
      <c r="CT22" s="383">
        <v>208</v>
      </c>
      <c r="CU22" s="383">
        <v>165</v>
      </c>
      <c r="CV22" s="25">
        <f t="shared" si="9"/>
        <v>0</v>
      </c>
      <c r="CW22" s="25">
        <f t="shared" si="10"/>
        <v>10</v>
      </c>
      <c r="CX22" s="25">
        <f t="shared" si="11"/>
        <v>176</v>
      </c>
      <c r="CY22" s="25">
        <f t="shared" si="12"/>
        <v>601</v>
      </c>
      <c r="CZ22" s="25">
        <f t="shared" si="13"/>
        <v>627</v>
      </c>
      <c r="DA22" s="384">
        <v>0</v>
      </c>
      <c r="DB22" s="384">
        <v>0</v>
      </c>
      <c r="DC22" s="384">
        <v>0</v>
      </c>
      <c r="DD22" s="384">
        <v>0</v>
      </c>
      <c r="DE22" s="384">
        <v>0</v>
      </c>
      <c r="DF22" s="384">
        <v>0</v>
      </c>
      <c r="DG22" s="384">
        <v>0</v>
      </c>
      <c r="DH22" s="384">
        <v>1</v>
      </c>
      <c r="DI22" s="384">
        <v>0</v>
      </c>
      <c r="DJ22" s="384">
        <v>1</v>
      </c>
      <c r="DK22" s="384">
        <v>0</v>
      </c>
      <c r="DL22" s="384">
        <v>0</v>
      </c>
      <c r="DM22" s="384">
        <v>0</v>
      </c>
      <c r="DN22" s="384">
        <v>0</v>
      </c>
      <c r="DO22" s="384">
        <v>1</v>
      </c>
      <c r="DP22" s="384">
        <v>2</v>
      </c>
      <c r="DQ22" s="384">
        <v>9</v>
      </c>
      <c r="DR22" s="384">
        <v>9</v>
      </c>
      <c r="DS22" s="94">
        <f t="shared" si="19"/>
        <v>0</v>
      </c>
      <c r="DT22" s="94">
        <f t="shared" si="20"/>
        <v>0</v>
      </c>
      <c r="DU22" s="94">
        <f t="shared" si="21"/>
        <v>2</v>
      </c>
      <c r="DV22" s="94">
        <f t="shared" si="22"/>
        <v>1</v>
      </c>
      <c r="DW22" s="94">
        <f t="shared" si="23"/>
        <v>20</v>
      </c>
      <c r="DX22" s="385">
        <v>6003</v>
      </c>
      <c r="DY22" s="385">
        <v>1327</v>
      </c>
      <c r="DZ22" s="385">
        <v>816</v>
      </c>
      <c r="EA22" s="385">
        <v>7190</v>
      </c>
      <c r="EB22" s="96"/>
      <c r="EC22" s="96"/>
    </row>
    <row r="23" spans="1:133" ht="12.95" customHeight="1">
      <c r="A23" s="2">
        <v>20</v>
      </c>
      <c r="B23" s="3" t="s">
        <v>71</v>
      </c>
      <c r="C23" s="3" t="s">
        <v>72</v>
      </c>
      <c r="D23" s="4">
        <f t="shared" si="0"/>
        <v>8</v>
      </c>
      <c r="E23" s="4">
        <f t="shared" si="1"/>
        <v>5</v>
      </c>
      <c r="F23" s="312">
        <v>0</v>
      </c>
      <c r="G23" s="376">
        <v>3</v>
      </c>
      <c r="H23" s="376">
        <v>2</v>
      </c>
      <c r="I23" s="376">
        <v>1</v>
      </c>
      <c r="J23" s="376">
        <v>0</v>
      </c>
      <c r="K23" s="376">
        <v>2</v>
      </c>
      <c r="L23" s="377">
        <v>6</v>
      </c>
      <c r="M23" s="377">
        <v>0</v>
      </c>
      <c r="N23" s="377">
        <v>0</v>
      </c>
      <c r="O23" s="377">
        <v>2</v>
      </c>
      <c r="P23" s="377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1</v>
      </c>
      <c r="Y23" s="378">
        <v>0</v>
      </c>
      <c r="Z23" s="378">
        <v>0</v>
      </c>
      <c r="AA23" s="378">
        <v>1</v>
      </c>
      <c r="AB23" s="378">
        <v>0</v>
      </c>
      <c r="AC23" s="378">
        <v>0</v>
      </c>
      <c r="AD23" s="378">
        <v>1</v>
      </c>
      <c r="AE23" s="378">
        <v>1</v>
      </c>
      <c r="AF23" s="378">
        <v>3</v>
      </c>
      <c r="AG23" s="378">
        <v>1</v>
      </c>
      <c r="AH23" s="378">
        <v>0</v>
      </c>
      <c r="AI23" s="24">
        <f t="shared" si="2"/>
        <v>0</v>
      </c>
      <c r="AJ23" s="24">
        <f t="shared" si="3"/>
        <v>0</v>
      </c>
      <c r="AK23" s="24">
        <f t="shared" si="4"/>
        <v>2</v>
      </c>
      <c r="AL23" s="24">
        <f t="shared" si="5"/>
        <v>2</v>
      </c>
      <c r="AM23" s="24">
        <f t="shared" si="6"/>
        <v>4</v>
      </c>
      <c r="AN23" s="379">
        <v>0</v>
      </c>
      <c r="AO23" s="379">
        <v>0</v>
      </c>
      <c r="AP23" s="379">
        <v>0</v>
      </c>
      <c r="AQ23" s="379">
        <v>0</v>
      </c>
      <c r="AR23" s="379">
        <v>0</v>
      </c>
      <c r="AS23" s="379">
        <v>0</v>
      </c>
      <c r="AT23" s="379">
        <v>0</v>
      </c>
      <c r="AU23" s="379">
        <v>0</v>
      </c>
      <c r="AV23" s="379">
        <v>0</v>
      </c>
      <c r="AW23" s="379">
        <v>0</v>
      </c>
      <c r="AX23" s="379">
        <v>0</v>
      </c>
      <c r="AY23" s="379">
        <v>1</v>
      </c>
      <c r="AZ23" s="379">
        <v>1</v>
      </c>
      <c r="BA23" s="379">
        <v>2</v>
      </c>
      <c r="BB23" s="379">
        <v>0</v>
      </c>
      <c r="BC23" s="379">
        <v>1</v>
      </c>
      <c r="BD23" s="379">
        <v>0</v>
      </c>
      <c r="BE23" s="379">
        <v>0</v>
      </c>
      <c r="BF23" s="93">
        <f t="shared" si="14"/>
        <v>0</v>
      </c>
      <c r="BG23" s="93">
        <f t="shared" si="15"/>
        <v>0</v>
      </c>
      <c r="BH23" s="93">
        <f t="shared" si="16"/>
        <v>0</v>
      </c>
      <c r="BI23" s="93">
        <f t="shared" si="17"/>
        <v>4</v>
      </c>
      <c r="BJ23" s="93">
        <f t="shared" si="18"/>
        <v>1</v>
      </c>
      <c r="BK23" s="380">
        <v>70</v>
      </c>
      <c r="BL23" s="380">
        <v>40</v>
      </c>
      <c r="BM23" s="380">
        <v>20</v>
      </c>
      <c r="BN23" s="380">
        <v>74</v>
      </c>
      <c r="BO23" s="96">
        <v>0.89181560000000004</v>
      </c>
      <c r="BP23" s="96">
        <v>0.56524324000000004</v>
      </c>
      <c r="BQ23" s="5">
        <f t="shared" si="7"/>
        <v>1638</v>
      </c>
      <c r="BR23" s="5">
        <f t="shared" si="8"/>
        <v>570</v>
      </c>
      <c r="BS23" s="309">
        <v>0</v>
      </c>
      <c r="BT23" s="381">
        <v>522</v>
      </c>
      <c r="BU23" s="381">
        <v>595</v>
      </c>
      <c r="BV23" s="381">
        <v>272</v>
      </c>
      <c r="BW23" s="381">
        <v>91</v>
      </c>
      <c r="BX23" s="381">
        <v>158</v>
      </c>
      <c r="BY23" s="382">
        <v>1451</v>
      </c>
      <c r="BZ23" s="382">
        <v>26</v>
      </c>
      <c r="CA23" s="382">
        <v>29</v>
      </c>
      <c r="CB23" s="382">
        <v>128</v>
      </c>
      <c r="CC23" s="382">
        <v>4</v>
      </c>
      <c r="CD23" s="383">
        <v>0</v>
      </c>
      <c r="CE23" s="383">
        <v>0</v>
      </c>
      <c r="CF23" s="383">
        <v>0</v>
      </c>
      <c r="CG23" s="383">
        <v>0</v>
      </c>
      <c r="CH23" s="383">
        <v>0</v>
      </c>
      <c r="CI23" s="383">
        <v>4</v>
      </c>
      <c r="CJ23" s="383">
        <v>18</v>
      </c>
      <c r="CK23" s="383">
        <v>45</v>
      </c>
      <c r="CL23" s="383">
        <v>97</v>
      </c>
      <c r="CM23" s="383">
        <v>131</v>
      </c>
      <c r="CN23" s="383">
        <v>244</v>
      </c>
      <c r="CO23" s="383">
        <v>211</v>
      </c>
      <c r="CP23" s="383">
        <v>207</v>
      </c>
      <c r="CQ23" s="383">
        <v>166</v>
      </c>
      <c r="CR23" s="383">
        <v>174</v>
      </c>
      <c r="CS23" s="383">
        <v>169</v>
      </c>
      <c r="CT23" s="383">
        <v>94</v>
      </c>
      <c r="CU23" s="383">
        <v>78</v>
      </c>
      <c r="CV23" s="25">
        <f t="shared" si="9"/>
        <v>0</v>
      </c>
      <c r="CW23" s="25">
        <f t="shared" si="10"/>
        <v>4</v>
      </c>
      <c r="CX23" s="25">
        <f t="shared" si="11"/>
        <v>535</v>
      </c>
      <c r="CY23" s="25">
        <f t="shared" si="12"/>
        <v>758</v>
      </c>
      <c r="CZ23" s="25">
        <f t="shared" si="13"/>
        <v>341</v>
      </c>
      <c r="DA23" s="384">
        <v>0</v>
      </c>
      <c r="DB23" s="384">
        <v>0</v>
      </c>
      <c r="DC23" s="384">
        <v>0</v>
      </c>
      <c r="DD23" s="384">
        <v>0</v>
      </c>
      <c r="DE23" s="384">
        <v>0</v>
      </c>
      <c r="DF23" s="384">
        <v>1</v>
      </c>
      <c r="DG23" s="384">
        <v>6</v>
      </c>
      <c r="DH23" s="384">
        <v>9</v>
      </c>
      <c r="DI23" s="384">
        <v>19</v>
      </c>
      <c r="DJ23" s="384">
        <v>26</v>
      </c>
      <c r="DK23" s="384">
        <v>40</v>
      </c>
      <c r="DL23" s="384">
        <v>54</v>
      </c>
      <c r="DM23" s="384">
        <v>61</v>
      </c>
      <c r="DN23" s="384">
        <v>67</v>
      </c>
      <c r="DO23" s="384">
        <v>79</v>
      </c>
      <c r="DP23" s="384">
        <v>63</v>
      </c>
      <c r="DQ23" s="384">
        <v>74</v>
      </c>
      <c r="DR23" s="384">
        <v>71</v>
      </c>
      <c r="DS23" s="94">
        <f t="shared" si="19"/>
        <v>0</v>
      </c>
      <c r="DT23" s="94">
        <f t="shared" si="20"/>
        <v>1</v>
      </c>
      <c r="DU23" s="94">
        <f t="shared" si="21"/>
        <v>100</v>
      </c>
      <c r="DV23" s="94">
        <f t="shared" si="22"/>
        <v>261</v>
      </c>
      <c r="DW23" s="94">
        <f t="shared" si="23"/>
        <v>208</v>
      </c>
      <c r="DX23" s="385">
        <v>13982</v>
      </c>
      <c r="DY23" s="385">
        <v>9577</v>
      </c>
      <c r="DZ23" s="385">
        <v>5584</v>
      </c>
      <c r="EA23" s="385">
        <v>15255</v>
      </c>
      <c r="EB23" s="96">
        <v>0.92825382999999995</v>
      </c>
      <c r="EC23" s="96">
        <v>0.74063944999999998</v>
      </c>
    </row>
    <row r="24" spans="1:133" ht="12.95" customHeight="1">
      <c r="A24" s="12">
        <v>21</v>
      </c>
      <c r="B24" s="3" t="s">
        <v>79</v>
      </c>
      <c r="C24" s="3" t="s">
        <v>80</v>
      </c>
      <c r="D24" s="4">
        <f>SUM(F24:K24)</f>
        <v>0</v>
      </c>
      <c r="E24" s="4">
        <f>SUM(AN24:BE24)</f>
        <v>0</v>
      </c>
      <c r="F24" s="312">
        <v>0</v>
      </c>
      <c r="G24" s="376">
        <v>0</v>
      </c>
      <c r="H24" s="376">
        <v>0</v>
      </c>
      <c r="I24" s="376">
        <v>0</v>
      </c>
      <c r="J24" s="376">
        <v>0</v>
      </c>
      <c r="K24" s="376">
        <v>0</v>
      </c>
      <c r="L24" s="377">
        <v>0</v>
      </c>
      <c r="M24" s="377">
        <v>0</v>
      </c>
      <c r="N24" s="377">
        <v>0</v>
      </c>
      <c r="O24" s="377">
        <v>0</v>
      </c>
      <c r="P24" s="377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24">
        <f>Q24+R24+S24</f>
        <v>0</v>
      </c>
      <c r="AJ24" s="24">
        <f>T24+U24+V24</f>
        <v>0</v>
      </c>
      <c r="AK24" s="24">
        <f>W24+X24+Y24+Z24+AA24</f>
        <v>0</v>
      </c>
      <c r="AL24" s="24">
        <f>AB24+AC24+AD24+AE24</f>
        <v>0</v>
      </c>
      <c r="AM24" s="24">
        <f>AF24+AG24+AH24</f>
        <v>0</v>
      </c>
      <c r="AN24" s="379">
        <v>0</v>
      </c>
      <c r="AO24" s="379">
        <v>0</v>
      </c>
      <c r="AP24" s="379">
        <v>0</v>
      </c>
      <c r="AQ24" s="379">
        <v>0</v>
      </c>
      <c r="AR24" s="379">
        <v>0</v>
      </c>
      <c r="AS24" s="379">
        <v>0</v>
      </c>
      <c r="AT24" s="379">
        <v>0</v>
      </c>
      <c r="AU24" s="379">
        <v>0</v>
      </c>
      <c r="AV24" s="379">
        <v>0</v>
      </c>
      <c r="AW24" s="379">
        <v>0</v>
      </c>
      <c r="AX24" s="379">
        <v>0</v>
      </c>
      <c r="AY24" s="379">
        <v>0</v>
      </c>
      <c r="AZ24" s="379">
        <v>0</v>
      </c>
      <c r="BA24" s="379">
        <v>0</v>
      </c>
      <c r="BB24" s="379">
        <v>0</v>
      </c>
      <c r="BC24" s="379">
        <v>0</v>
      </c>
      <c r="BD24" s="379">
        <v>0</v>
      </c>
      <c r="BE24" s="379">
        <v>0</v>
      </c>
      <c r="BF24" s="93">
        <f t="shared" si="14"/>
        <v>0</v>
      </c>
      <c r="BG24" s="93">
        <f t="shared" si="15"/>
        <v>0</v>
      </c>
      <c r="BH24" s="93">
        <f t="shared" si="16"/>
        <v>0</v>
      </c>
      <c r="BI24" s="93">
        <f t="shared" si="17"/>
        <v>0</v>
      </c>
      <c r="BJ24" s="93">
        <f t="shared" si="18"/>
        <v>0</v>
      </c>
      <c r="BK24" s="380">
        <v>0</v>
      </c>
      <c r="BL24" s="380">
        <v>0</v>
      </c>
      <c r="BM24" s="380">
        <v>0</v>
      </c>
      <c r="BN24" s="380">
        <v>0</v>
      </c>
      <c r="BO24" s="96"/>
      <c r="BP24" s="96"/>
      <c r="BQ24" s="5">
        <f>SUM(BS24:BX24)</f>
        <v>51</v>
      </c>
      <c r="BR24" s="5">
        <f>SUM(DA24:DR24)</f>
        <v>19</v>
      </c>
      <c r="BS24" s="309">
        <v>0</v>
      </c>
      <c r="BT24" s="381">
        <v>28</v>
      </c>
      <c r="BU24" s="381">
        <v>4</v>
      </c>
      <c r="BV24" s="381">
        <v>9</v>
      </c>
      <c r="BW24" s="381">
        <v>1</v>
      </c>
      <c r="BX24" s="381">
        <v>9</v>
      </c>
      <c r="BY24" s="382">
        <v>43</v>
      </c>
      <c r="BZ24" s="382">
        <v>0</v>
      </c>
      <c r="CA24" s="382">
        <v>1</v>
      </c>
      <c r="CB24" s="382">
        <v>7</v>
      </c>
      <c r="CC24" s="382">
        <v>0</v>
      </c>
      <c r="CD24" s="383">
        <v>0</v>
      </c>
      <c r="CE24" s="383">
        <v>0</v>
      </c>
      <c r="CF24" s="383">
        <v>0</v>
      </c>
      <c r="CG24" s="383">
        <v>0</v>
      </c>
      <c r="CH24" s="383">
        <v>0</v>
      </c>
      <c r="CI24" s="383">
        <v>0</v>
      </c>
      <c r="CJ24" s="383">
        <v>0</v>
      </c>
      <c r="CK24" s="383">
        <v>2</v>
      </c>
      <c r="CL24" s="383">
        <v>0</v>
      </c>
      <c r="CM24" s="383">
        <v>3</v>
      </c>
      <c r="CN24" s="383">
        <v>3</v>
      </c>
      <c r="CO24" s="383">
        <v>3</v>
      </c>
      <c r="CP24" s="383">
        <v>5</v>
      </c>
      <c r="CQ24" s="383">
        <v>4</v>
      </c>
      <c r="CR24" s="383">
        <v>5</v>
      </c>
      <c r="CS24" s="383">
        <v>10</v>
      </c>
      <c r="CT24" s="383">
        <v>6</v>
      </c>
      <c r="CU24" s="383">
        <v>10</v>
      </c>
      <c r="CV24" s="25">
        <f>CD24+CE24+CF24</f>
        <v>0</v>
      </c>
      <c r="CW24" s="25">
        <f>CG24+CH24+CI24</f>
        <v>0</v>
      </c>
      <c r="CX24" s="25">
        <f>CJ24+CK24+CL24+CM24+CN24</f>
        <v>8</v>
      </c>
      <c r="CY24" s="25">
        <f>CO24+CP24+CQ24+CR24</f>
        <v>17</v>
      </c>
      <c r="CZ24" s="25">
        <f>CS24+CT24+CU24</f>
        <v>26</v>
      </c>
      <c r="DA24" s="384">
        <v>0</v>
      </c>
      <c r="DB24" s="384">
        <v>0</v>
      </c>
      <c r="DC24" s="384">
        <v>0</v>
      </c>
      <c r="DD24" s="384">
        <v>0</v>
      </c>
      <c r="DE24" s="384">
        <v>0</v>
      </c>
      <c r="DF24" s="384">
        <v>0</v>
      </c>
      <c r="DG24" s="384">
        <v>0</v>
      </c>
      <c r="DH24" s="384">
        <v>0</v>
      </c>
      <c r="DI24" s="384">
        <v>0</v>
      </c>
      <c r="DJ24" s="384">
        <v>2</v>
      </c>
      <c r="DK24" s="384">
        <v>0</v>
      </c>
      <c r="DL24" s="384">
        <v>0</v>
      </c>
      <c r="DM24" s="384">
        <v>2</v>
      </c>
      <c r="DN24" s="384">
        <v>0</v>
      </c>
      <c r="DO24" s="384">
        <v>4</v>
      </c>
      <c r="DP24" s="384">
        <v>2</v>
      </c>
      <c r="DQ24" s="384">
        <v>5</v>
      </c>
      <c r="DR24" s="384">
        <v>4</v>
      </c>
      <c r="DS24" s="94">
        <f t="shared" si="19"/>
        <v>0</v>
      </c>
      <c r="DT24" s="94">
        <f t="shared" si="20"/>
        <v>0</v>
      </c>
      <c r="DU24" s="94">
        <f t="shared" si="21"/>
        <v>2</v>
      </c>
      <c r="DV24" s="94">
        <f t="shared" si="22"/>
        <v>6</v>
      </c>
      <c r="DW24" s="94">
        <f t="shared" si="23"/>
        <v>11</v>
      </c>
      <c r="DX24" s="385">
        <v>273</v>
      </c>
      <c r="DY24" s="385">
        <v>180</v>
      </c>
      <c r="DZ24" s="385">
        <v>100</v>
      </c>
      <c r="EA24" s="385">
        <v>310</v>
      </c>
      <c r="EB24" s="96">
        <v>0.81972361000000005</v>
      </c>
      <c r="EC24" s="96">
        <v>0.61427748000000004</v>
      </c>
    </row>
    <row r="25" spans="1:133" ht="12.95" customHeight="1">
      <c r="A25" s="2">
        <v>22</v>
      </c>
      <c r="B25" s="3" t="s">
        <v>73</v>
      </c>
      <c r="C25" s="3" t="s">
        <v>74</v>
      </c>
      <c r="D25" s="4">
        <f t="shared" si="0"/>
        <v>0</v>
      </c>
      <c r="E25" s="4">
        <f t="shared" si="1"/>
        <v>0</v>
      </c>
      <c r="F25" s="312">
        <v>0</v>
      </c>
      <c r="G25" s="376">
        <v>0</v>
      </c>
      <c r="H25" s="376">
        <v>0</v>
      </c>
      <c r="I25" s="376">
        <v>0</v>
      </c>
      <c r="J25" s="376">
        <v>0</v>
      </c>
      <c r="K25" s="376">
        <v>0</v>
      </c>
      <c r="L25" s="377">
        <v>0</v>
      </c>
      <c r="M25" s="377">
        <v>0</v>
      </c>
      <c r="N25" s="377">
        <v>0</v>
      </c>
      <c r="O25" s="377">
        <v>0</v>
      </c>
      <c r="P25" s="377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24">
        <f t="shared" si="2"/>
        <v>0</v>
      </c>
      <c r="AJ25" s="24">
        <f t="shared" si="3"/>
        <v>0</v>
      </c>
      <c r="AK25" s="24">
        <f t="shared" si="4"/>
        <v>0</v>
      </c>
      <c r="AL25" s="24">
        <f t="shared" si="5"/>
        <v>0</v>
      </c>
      <c r="AM25" s="24">
        <f t="shared" si="6"/>
        <v>0</v>
      </c>
      <c r="AN25" s="379">
        <v>0</v>
      </c>
      <c r="AO25" s="379">
        <v>0</v>
      </c>
      <c r="AP25" s="379">
        <v>0</v>
      </c>
      <c r="AQ25" s="379">
        <v>0</v>
      </c>
      <c r="AR25" s="379">
        <v>0</v>
      </c>
      <c r="AS25" s="379">
        <v>0</v>
      </c>
      <c r="AT25" s="379">
        <v>0</v>
      </c>
      <c r="AU25" s="379">
        <v>0</v>
      </c>
      <c r="AV25" s="379">
        <v>0</v>
      </c>
      <c r="AW25" s="379">
        <v>0</v>
      </c>
      <c r="AX25" s="379">
        <v>0</v>
      </c>
      <c r="AY25" s="379">
        <v>0</v>
      </c>
      <c r="AZ25" s="379">
        <v>0</v>
      </c>
      <c r="BA25" s="379">
        <v>0</v>
      </c>
      <c r="BB25" s="379">
        <v>0</v>
      </c>
      <c r="BC25" s="379">
        <v>0</v>
      </c>
      <c r="BD25" s="379">
        <v>0</v>
      </c>
      <c r="BE25" s="379">
        <v>0</v>
      </c>
      <c r="BF25" s="93">
        <f t="shared" si="14"/>
        <v>0</v>
      </c>
      <c r="BG25" s="93">
        <f t="shared" si="15"/>
        <v>0</v>
      </c>
      <c r="BH25" s="93">
        <f t="shared" si="16"/>
        <v>0</v>
      </c>
      <c r="BI25" s="93">
        <f t="shared" si="17"/>
        <v>0</v>
      </c>
      <c r="BJ25" s="93">
        <f t="shared" si="18"/>
        <v>0</v>
      </c>
      <c r="BK25" s="380">
        <v>0</v>
      </c>
      <c r="BL25" s="380">
        <v>0</v>
      </c>
      <c r="BM25" s="380">
        <v>0</v>
      </c>
      <c r="BN25" s="380">
        <v>0</v>
      </c>
      <c r="BO25" s="96"/>
      <c r="BP25" s="96"/>
      <c r="BQ25" s="5">
        <f t="shared" si="7"/>
        <v>380</v>
      </c>
      <c r="BR25" s="5">
        <f t="shared" si="8"/>
        <v>207</v>
      </c>
      <c r="BS25" s="309">
        <v>0</v>
      </c>
      <c r="BT25" s="381">
        <v>121</v>
      </c>
      <c r="BU25" s="381">
        <v>54</v>
      </c>
      <c r="BV25" s="381">
        <v>83</v>
      </c>
      <c r="BW25" s="381">
        <v>28</v>
      </c>
      <c r="BX25" s="381">
        <v>94</v>
      </c>
      <c r="BY25" s="382">
        <v>305</v>
      </c>
      <c r="BZ25" s="382">
        <v>2</v>
      </c>
      <c r="CA25" s="382">
        <v>6</v>
      </c>
      <c r="CB25" s="382">
        <v>64</v>
      </c>
      <c r="CC25" s="382">
        <v>3</v>
      </c>
      <c r="CD25" s="383">
        <v>0</v>
      </c>
      <c r="CE25" s="383">
        <v>0</v>
      </c>
      <c r="CF25" s="383">
        <v>0</v>
      </c>
      <c r="CG25" s="383">
        <v>0</v>
      </c>
      <c r="CH25" s="383">
        <v>2</v>
      </c>
      <c r="CI25" s="383">
        <v>8</v>
      </c>
      <c r="CJ25" s="383">
        <v>19</v>
      </c>
      <c r="CK25" s="383">
        <v>26</v>
      </c>
      <c r="CL25" s="383">
        <v>33</v>
      </c>
      <c r="CM25" s="383">
        <v>43</v>
      </c>
      <c r="CN25" s="383">
        <v>50</v>
      </c>
      <c r="CO25" s="383">
        <v>53</v>
      </c>
      <c r="CP25" s="383">
        <v>31</v>
      </c>
      <c r="CQ25" s="383">
        <v>26</v>
      </c>
      <c r="CR25" s="383">
        <v>24</v>
      </c>
      <c r="CS25" s="383">
        <v>26</v>
      </c>
      <c r="CT25" s="383">
        <v>23</v>
      </c>
      <c r="CU25" s="383">
        <v>16</v>
      </c>
      <c r="CV25" s="25">
        <f t="shared" si="9"/>
        <v>0</v>
      </c>
      <c r="CW25" s="25">
        <f t="shared" si="10"/>
        <v>10</v>
      </c>
      <c r="CX25" s="25">
        <f t="shared" si="11"/>
        <v>171</v>
      </c>
      <c r="CY25" s="25">
        <f t="shared" si="12"/>
        <v>134</v>
      </c>
      <c r="CZ25" s="25">
        <f t="shared" si="13"/>
        <v>65</v>
      </c>
      <c r="DA25" s="384">
        <v>0</v>
      </c>
      <c r="DB25" s="384">
        <v>0</v>
      </c>
      <c r="DC25" s="384">
        <v>0</v>
      </c>
      <c r="DD25" s="384">
        <v>0</v>
      </c>
      <c r="DE25" s="384">
        <v>0</v>
      </c>
      <c r="DF25" s="384">
        <v>0</v>
      </c>
      <c r="DG25" s="384">
        <v>1</v>
      </c>
      <c r="DH25" s="384">
        <v>6</v>
      </c>
      <c r="DI25" s="384">
        <v>18</v>
      </c>
      <c r="DJ25" s="384">
        <v>16</v>
      </c>
      <c r="DK25" s="384">
        <v>25</v>
      </c>
      <c r="DL25" s="384">
        <v>23</v>
      </c>
      <c r="DM25" s="384">
        <v>28</v>
      </c>
      <c r="DN25" s="384">
        <v>21</v>
      </c>
      <c r="DO25" s="384">
        <v>14</v>
      </c>
      <c r="DP25" s="384">
        <v>19</v>
      </c>
      <c r="DQ25" s="384">
        <v>18</v>
      </c>
      <c r="DR25" s="384">
        <v>18</v>
      </c>
      <c r="DS25" s="94">
        <f t="shared" si="19"/>
        <v>0</v>
      </c>
      <c r="DT25" s="94">
        <f t="shared" si="20"/>
        <v>0</v>
      </c>
      <c r="DU25" s="94">
        <f t="shared" si="21"/>
        <v>66</v>
      </c>
      <c r="DV25" s="94">
        <f t="shared" si="22"/>
        <v>86</v>
      </c>
      <c r="DW25" s="94">
        <f t="shared" si="23"/>
        <v>55</v>
      </c>
      <c r="DX25" s="385">
        <v>4636</v>
      </c>
      <c r="DY25" s="385">
        <v>3660</v>
      </c>
      <c r="DZ25" s="385">
        <v>2404</v>
      </c>
      <c r="EA25" s="385">
        <v>4901</v>
      </c>
      <c r="EB25" s="96">
        <v>0.84322512000000005</v>
      </c>
      <c r="EC25" s="96">
        <v>0.64189339000000001</v>
      </c>
    </row>
    <row r="26" spans="1:133" ht="12.95" customHeight="1">
      <c r="A26" s="12">
        <v>23</v>
      </c>
      <c r="B26" s="3" t="s">
        <v>75</v>
      </c>
      <c r="C26" s="3" t="s">
        <v>76</v>
      </c>
      <c r="D26" s="4">
        <f t="shared" si="0"/>
        <v>0</v>
      </c>
      <c r="E26" s="4">
        <f t="shared" si="1"/>
        <v>0</v>
      </c>
      <c r="F26" s="312">
        <v>0</v>
      </c>
      <c r="G26" s="376">
        <v>0</v>
      </c>
      <c r="H26" s="376">
        <v>0</v>
      </c>
      <c r="I26" s="376">
        <v>0</v>
      </c>
      <c r="J26" s="376">
        <v>0</v>
      </c>
      <c r="K26" s="376">
        <v>0</v>
      </c>
      <c r="L26" s="377">
        <v>0</v>
      </c>
      <c r="M26" s="377">
        <v>0</v>
      </c>
      <c r="N26" s="377">
        <v>0</v>
      </c>
      <c r="O26" s="377">
        <v>0</v>
      </c>
      <c r="P26" s="377">
        <v>0</v>
      </c>
      <c r="Q26" s="378">
        <v>0</v>
      </c>
      <c r="R26" s="378">
        <v>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0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24">
        <f t="shared" si="2"/>
        <v>0</v>
      </c>
      <c r="AJ26" s="24">
        <f t="shared" si="3"/>
        <v>0</v>
      </c>
      <c r="AK26" s="24">
        <f t="shared" si="4"/>
        <v>0</v>
      </c>
      <c r="AL26" s="24">
        <f t="shared" si="5"/>
        <v>0</v>
      </c>
      <c r="AM26" s="24">
        <f t="shared" si="6"/>
        <v>0</v>
      </c>
      <c r="AN26" s="379">
        <v>0</v>
      </c>
      <c r="AO26" s="379">
        <v>0</v>
      </c>
      <c r="AP26" s="379">
        <v>0</v>
      </c>
      <c r="AQ26" s="379">
        <v>0</v>
      </c>
      <c r="AR26" s="379">
        <v>0</v>
      </c>
      <c r="AS26" s="379">
        <v>0</v>
      </c>
      <c r="AT26" s="379">
        <v>0</v>
      </c>
      <c r="AU26" s="379">
        <v>0</v>
      </c>
      <c r="AV26" s="379">
        <v>0</v>
      </c>
      <c r="AW26" s="379">
        <v>0</v>
      </c>
      <c r="AX26" s="379">
        <v>0</v>
      </c>
      <c r="AY26" s="379">
        <v>0</v>
      </c>
      <c r="AZ26" s="379">
        <v>0</v>
      </c>
      <c r="BA26" s="379">
        <v>0</v>
      </c>
      <c r="BB26" s="379">
        <v>0</v>
      </c>
      <c r="BC26" s="379">
        <v>0</v>
      </c>
      <c r="BD26" s="379">
        <v>0</v>
      </c>
      <c r="BE26" s="379">
        <v>0</v>
      </c>
      <c r="BF26" s="93">
        <f t="shared" si="14"/>
        <v>0</v>
      </c>
      <c r="BG26" s="93">
        <f t="shared" si="15"/>
        <v>0</v>
      </c>
      <c r="BH26" s="93">
        <f t="shared" si="16"/>
        <v>0</v>
      </c>
      <c r="BI26" s="93">
        <f t="shared" si="17"/>
        <v>0</v>
      </c>
      <c r="BJ26" s="93">
        <f t="shared" si="18"/>
        <v>0</v>
      </c>
      <c r="BK26" s="380">
        <v>0</v>
      </c>
      <c r="BL26" s="380">
        <v>0</v>
      </c>
      <c r="BM26" s="380">
        <v>0</v>
      </c>
      <c r="BN26" s="380">
        <v>0</v>
      </c>
      <c r="BO26" s="96"/>
      <c r="BP26" s="96"/>
      <c r="BQ26" s="5">
        <f t="shared" si="7"/>
        <v>615</v>
      </c>
      <c r="BR26" s="5">
        <f t="shared" si="8"/>
        <v>153</v>
      </c>
      <c r="BS26" s="309">
        <v>0</v>
      </c>
      <c r="BT26" s="381">
        <v>365</v>
      </c>
      <c r="BU26" s="381">
        <v>46</v>
      </c>
      <c r="BV26" s="381">
        <v>51</v>
      </c>
      <c r="BW26" s="381">
        <v>44</v>
      </c>
      <c r="BX26" s="381">
        <v>109</v>
      </c>
      <c r="BY26" s="382">
        <v>558</v>
      </c>
      <c r="BZ26" s="382">
        <v>2</v>
      </c>
      <c r="CA26" s="382">
        <v>12</v>
      </c>
      <c r="CB26" s="382">
        <v>41</v>
      </c>
      <c r="CC26" s="382">
        <v>2</v>
      </c>
      <c r="CD26" s="383">
        <v>0</v>
      </c>
      <c r="CE26" s="383">
        <v>0</v>
      </c>
      <c r="CF26" s="383">
        <v>0</v>
      </c>
      <c r="CG26" s="383">
        <v>0</v>
      </c>
      <c r="CH26" s="383">
        <v>0</v>
      </c>
      <c r="CI26" s="383">
        <v>1</v>
      </c>
      <c r="CJ26" s="383">
        <v>6</v>
      </c>
      <c r="CK26" s="383">
        <v>7</v>
      </c>
      <c r="CL26" s="383">
        <v>16</v>
      </c>
      <c r="CM26" s="383">
        <v>41</v>
      </c>
      <c r="CN26" s="383">
        <v>65</v>
      </c>
      <c r="CO26" s="383">
        <v>92</v>
      </c>
      <c r="CP26" s="383">
        <v>82</v>
      </c>
      <c r="CQ26" s="383">
        <v>89</v>
      </c>
      <c r="CR26" s="383">
        <v>73</v>
      </c>
      <c r="CS26" s="383">
        <v>63</v>
      </c>
      <c r="CT26" s="383">
        <v>42</v>
      </c>
      <c r="CU26" s="383">
        <v>38</v>
      </c>
      <c r="CV26" s="25">
        <f t="shared" si="9"/>
        <v>0</v>
      </c>
      <c r="CW26" s="25">
        <f t="shared" si="10"/>
        <v>1</v>
      </c>
      <c r="CX26" s="25">
        <f t="shared" si="11"/>
        <v>135</v>
      </c>
      <c r="CY26" s="25">
        <f t="shared" si="12"/>
        <v>336</v>
      </c>
      <c r="CZ26" s="25">
        <f t="shared" si="13"/>
        <v>143</v>
      </c>
      <c r="DA26" s="384">
        <v>0</v>
      </c>
      <c r="DB26" s="384">
        <v>0</v>
      </c>
      <c r="DC26" s="384">
        <v>0</v>
      </c>
      <c r="DD26" s="384">
        <v>0</v>
      </c>
      <c r="DE26" s="384">
        <v>0</v>
      </c>
      <c r="DF26" s="384">
        <v>1</v>
      </c>
      <c r="DG26" s="384">
        <v>0</v>
      </c>
      <c r="DH26" s="384">
        <v>0</v>
      </c>
      <c r="DI26" s="384">
        <v>1</v>
      </c>
      <c r="DJ26" s="384">
        <v>1</v>
      </c>
      <c r="DK26" s="384">
        <v>4</v>
      </c>
      <c r="DL26" s="384">
        <v>10</v>
      </c>
      <c r="DM26" s="384">
        <v>17</v>
      </c>
      <c r="DN26" s="384">
        <v>24</v>
      </c>
      <c r="DO26" s="384">
        <v>24</v>
      </c>
      <c r="DP26" s="384">
        <v>22</v>
      </c>
      <c r="DQ26" s="384">
        <v>32</v>
      </c>
      <c r="DR26" s="384">
        <v>17</v>
      </c>
      <c r="DS26" s="94">
        <f t="shared" si="19"/>
        <v>0</v>
      </c>
      <c r="DT26" s="94">
        <f t="shared" si="20"/>
        <v>1</v>
      </c>
      <c r="DU26" s="94">
        <f t="shared" si="21"/>
        <v>6</v>
      </c>
      <c r="DV26" s="94">
        <f t="shared" si="22"/>
        <v>75</v>
      </c>
      <c r="DW26" s="94">
        <f t="shared" si="23"/>
        <v>71</v>
      </c>
      <c r="DX26" s="385">
        <v>6346</v>
      </c>
      <c r="DY26" s="385">
        <v>4571</v>
      </c>
      <c r="DZ26" s="385">
        <v>2895</v>
      </c>
      <c r="EA26" s="385">
        <v>6851</v>
      </c>
      <c r="EB26" s="96">
        <v>0.92602693999999997</v>
      </c>
      <c r="EC26" s="96">
        <v>0.82938593999999999</v>
      </c>
    </row>
    <row r="27" spans="1:133" ht="12.95" customHeight="1">
      <c r="A27" s="2">
        <v>24</v>
      </c>
      <c r="B27" s="3" t="s">
        <v>77</v>
      </c>
      <c r="C27" s="3" t="s">
        <v>78</v>
      </c>
      <c r="D27" s="4">
        <f t="shared" si="0"/>
        <v>0</v>
      </c>
      <c r="E27" s="4">
        <f t="shared" si="1"/>
        <v>0</v>
      </c>
      <c r="F27" s="312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0</v>
      </c>
      <c r="L27" s="377">
        <v>0</v>
      </c>
      <c r="M27" s="377">
        <v>0</v>
      </c>
      <c r="N27" s="377">
        <v>0</v>
      </c>
      <c r="O27" s="377">
        <v>0</v>
      </c>
      <c r="P27" s="377">
        <v>0</v>
      </c>
      <c r="Q27" s="378">
        <v>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24">
        <f t="shared" si="2"/>
        <v>0</v>
      </c>
      <c r="AJ27" s="24">
        <f t="shared" si="3"/>
        <v>0</v>
      </c>
      <c r="AK27" s="24">
        <f t="shared" si="4"/>
        <v>0</v>
      </c>
      <c r="AL27" s="24">
        <f t="shared" si="5"/>
        <v>0</v>
      </c>
      <c r="AM27" s="24">
        <f t="shared" si="6"/>
        <v>0</v>
      </c>
      <c r="AN27" s="379">
        <v>0</v>
      </c>
      <c r="AO27" s="379">
        <v>0</v>
      </c>
      <c r="AP27" s="379">
        <v>0</v>
      </c>
      <c r="AQ27" s="379">
        <v>0</v>
      </c>
      <c r="AR27" s="379">
        <v>0</v>
      </c>
      <c r="AS27" s="379">
        <v>0</v>
      </c>
      <c r="AT27" s="379">
        <v>0</v>
      </c>
      <c r="AU27" s="379">
        <v>0</v>
      </c>
      <c r="AV27" s="379">
        <v>0</v>
      </c>
      <c r="AW27" s="379">
        <v>0</v>
      </c>
      <c r="AX27" s="379">
        <v>0</v>
      </c>
      <c r="AY27" s="379">
        <v>0</v>
      </c>
      <c r="AZ27" s="379">
        <v>0</v>
      </c>
      <c r="BA27" s="379">
        <v>0</v>
      </c>
      <c r="BB27" s="379">
        <v>0</v>
      </c>
      <c r="BC27" s="379">
        <v>0</v>
      </c>
      <c r="BD27" s="379">
        <v>0</v>
      </c>
      <c r="BE27" s="379">
        <v>0</v>
      </c>
      <c r="BF27" s="93">
        <f t="shared" si="14"/>
        <v>0</v>
      </c>
      <c r="BG27" s="93">
        <f t="shared" si="15"/>
        <v>0</v>
      </c>
      <c r="BH27" s="93">
        <f t="shared" si="16"/>
        <v>0</v>
      </c>
      <c r="BI27" s="93">
        <f t="shared" si="17"/>
        <v>0</v>
      </c>
      <c r="BJ27" s="93">
        <f t="shared" si="18"/>
        <v>0</v>
      </c>
      <c r="BK27" s="380">
        <v>0</v>
      </c>
      <c r="BL27" s="380">
        <v>0</v>
      </c>
      <c r="BM27" s="380">
        <v>0</v>
      </c>
      <c r="BN27" s="380">
        <v>0</v>
      </c>
      <c r="BO27" s="96"/>
      <c r="BP27" s="96"/>
      <c r="BQ27" s="5">
        <f t="shared" si="7"/>
        <v>385</v>
      </c>
      <c r="BR27" s="5">
        <f t="shared" si="8"/>
        <v>278</v>
      </c>
      <c r="BS27" s="309">
        <v>0</v>
      </c>
      <c r="BT27" s="381">
        <v>55</v>
      </c>
      <c r="BU27" s="381">
        <v>28</v>
      </c>
      <c r="BV27" s="381">
        <v>137</v>
      </c>
      <c r="BW27" s="381">
        <v>73</v>
      </c>
      <c r="BX27" s="381">
        <v>92</v>
      </c>
      <c r="BY27" s="382">
        <v>289</v>
      </c>
      <c r="BZ27" s="382">
        <v>12</v>
      </c>
      <c r="CA27" s="382">
        <v>15</v>
      </c>
      <c r="CB27" s="382">
        <v>67</v>
      </c>
      <c r="CC27" s="382">
        <v>2</v>
      </c>
      <c r="CD27" s="383">
        <v>0</v>
      </c>
      <c r="CE27" s="383">
        <v>1</v>
      </c>
      <c r="CF27" s="383">
        <v>1</v>
      </c>
      <c r="CG27" s="383">
        <v>1</v>
      </c>
      <c r="CH27" s="383">
        <v>3</v>
      </c>
      <c r="CI27" s="383">
        <v>6</v>
      </c>
      <c r="CJ27" s="383">
        <v>2</v>
      </c>
      <c r="CK27" s="383">
        <v>8</v>
      </c>
      <c r="CL27" s="383">
        <v>15</v>
      </c>
      <c r="CM27" s="383">
        <v>30</v>
      </c>
      <c r="CN27" s="383">
        <v>34</v>
      </c>
      <c r="CO27" s="383">
        <v>37</v>
      </c>
      <c r="CP27" s="383">
        <v>47</v>
      </c>
      <c r="CQ27" s="383">
        <v>41</v>
      </c>
      <c r="CR27" s="383">
        <v>51</v>
      </c>
      <c r="CS27" s="383">
        <v>41</v>
      </c>
      <c r="CT27" s="383">
        <v>37</v>
      </c>
      <c r="CU27" s="383">
        <v>30</v>
      </c>
      <c r="CV27" s="25">
        <f t="shared" si="9"/>
        <v>2</v>
      </c>
      <c r="CW27" s="25">
        <f t="shared" si="10"/>
        <v>10</v>
      </c>
      <c r="CX27" s="25">
        <f t="shared" si="11"/>
        <v>89</v>
      </c>
      <c r="CY27" s="25">
        <f t="shared" si="12"/>
        <v>176</v>
      </c>
      <c r="CZ27" s="25">
        <f t="shared" si="13"/>
        <v>108</v>
      </c>
      <c r="DA27" s="384">
        <v>0</v>
      </c>
      <c r="DB27" s="384">
        <v>0</v>
      </c>
      <c r="DC27" s="384">
        <v>0</v>
      </c>
      <c r="DD27" s="384">
        <v>0</v>
      </c>
      <c r="DE27" s="384">
        <v>1</v>
      </c>
      <c r="DF27" s="384">
        <v>0</v>
      </c>
      <c r="DG27" s="384">
        <v>1</v>
      </c>
      <c r="DH27" s="384">
        <v>3</v>
      </c>
      <c r="DI27" s="384">
        <v>7</v>
      </c>
      <c r="DJ27" s="384">
        <v>13</v>
      </c>
      <c r="DK27" s="384">
        <v>25</v>
      </c>
      <c r="DL27" s="384">
        <v>26</v>
      </c>
      <c r="DM27" s="384">
        <v>27</v>
      </c>
      <c r="DN27" s="384">
        <v>29</v>
      </c>
      <c r="DO27" s="384">
        <v>38</v>
      </c>
      <c r="DP27" s="384">
        <v>43</v>
      </c>
      <c r="DQ27" s="384">
        <v>38</v>
      </c>
      <c r="DR27" s="384">
        <v>27</v>
      </c>
      <c r="DS27" s="94">
        <f t="shared" si="19"/>
        <v>0</v>
      </c>
      <c r="DT27" s="94">
        <f t="shared" si="20"/>
        <v>1</v>
      </c>
      <c r="DU27" s="94">
        <f t="shared" si="21"/>
        <v>49</v>
      </c>
      <c r="DV27" s="94">
        <f t="shared" si="22"/>
        <v>120</v>
      </c>
      <c r="DW27" s="94">
        <f t="shared" si="23"/>
        <v>108</v>
      </c>
      <c r="DX27" s="385">
        <v>2301</v>
      </c>
      <c r="DY27" s="385">
        <v>1619</v>
      </c>
      <c r="DZ27" s="385">
        <v>1080</v>
      </c>
      <c r="EA27" s="385">
        <v>2530</v>
      </c>
      <c r="EB27" s="96">
        <v>0.68037968999999998</v>
      </c>
      <c r="EC27" s="96">
        <v>0.34696664999999999</v>
      </c>
    </row>
    <row r="28" spans="1:133" ht="12.95" customHeight="1">
      <c r="A28" s="12">
        <v>25</v>
      </c>
      <c r="B28" s="3" t="s">
        <v>81</v>
      </c>
      <c r="C28" s="3" t="s">
        <v>82</v>
      </c>
      <c r="D28" s="4">
        <f t="shared" si="0"/>
        <v>2967</v>
      </c>
      <c r="E28" s="4">
        <f t="shared" si="1"/>
        <v>544</v>
      </c>
      <c r="F28" s="312">
        <v>0</v>
      </c>
      <c r="G28" s="376">
        <v>534</v>
      </c>
      <c r="H28" s="376">
        <v>796</v>
      </c>
      <c r="I28" s="376">
        <v>437</v>
      </c>
      <c r="J28" s="376">
        <v>96</v>
      </c>
      <c r="K28" s="376">
        <v>1104</v>
      </c>
      <c r="L28" s="377">
        <v>2737</v>
      </c>
      <c r="M28" s="377">
        <v>28</v>
      </c>
      <c r="N28" s="377">
        <v>54</v>
      </c>
      <c r="O28" s="377">
        <v>138</v>
      </c>
      <c r="P28" s="377">
        <v>10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5</v>
      </c>
      <c r="Z28" s="378">
        <v>26</v>
      </c>
      <c r="AA28" s="378">
        <v>249</v>
      </c>
      <c r="AB28" s="378">
        <v>498</v>
      </c>
      <c r="AC28" s="378">
        <v>567</v>
      </c>
      <c r="AD28" s="378">
        <v>572</v>
      </c>
      <c r="AE28" s="378">
        <v>551</v>
      </c>
      <c r="AF28" s="378">
        <v>241</v>
      </c>
      <c r="AG28" s="378">
        <v>164</v>
      </c>
      <c r="AH28" s="378">
        <v>94</v>
      </c>
      <c r="AI28" s="24">
        <f t="shared" si="2"/>
        <v>0</v>
      </c>
      <c r="AJ28" s="24">
        <f t="shared" si="3"/>
        <v>0</v>
      </c>
      <c r="AK28" s="24">
        <f t="shared" si="4"/>
        <v>280</v>
      </c>
      <c r="AL28" s="24">
        <f t="shared" si="5"/>
        <v>2188</v>
      </c>
      <c r="AM28" s="24">
        <f t="shared" si="6"/>
        <v>499</v>
      </c>
      <c r="AN28" s="379">
        <v>0</v>
      </c>
      <c r="AO28" s="379">
        <v>0</v>
      </c>
      <c r="AP28" s="379">
        <v>0</v>
      </c>
      <c r="AQ28" s="379">
        <v>0</v>
      </c>
      <c r="AR28" s="379">
        <v>0</v>
      </c>
      <c r="AS28" s="379">
        <v>0</v>
      </c>
      <c r="AT28" s="379">
        <v>0</v>
      </c>
      <c r="AU28" s="379">
        <v>0</v>
      </c>
      <c r="AV28" s="379">
        <v>0</v>
      </c>
      <c r="AW28" s="379">
        <v>2</v>
      </c>
      <c r="AX28" s="379">
        <v>5</v>
      </c>
      <c r="AY28" s="379">
        <v>12</v>
      </c>
      <c r="AZ28" s="379">
        <v>28</v>
      </c>
      <c r="BA28" s="379">
        <v>57</v>
      </c>
      <c r="BB28" s="379">
        <v>97</v>
      </c>
      <c r="BC28" s="379">
        <v>125</v>
      </c>
      <c r="BD28" s="379">
        <v>116</v>
      </c>
      <c r="BE28" s="379">
        <v>102</v>
      </c>
      <c r="BF28" s="93">
        <f t="shared" si="14"/>
        <v>0</v>
      </c>
      <c r="BG28" s="93">
        <f t="shared" si="15"/>
        <v>0</v>
      </c>
      <c r="BH28" s="93">
        <f t="shared" si="16"/>
        <v>7</v>
      </c>
      <c r="BI28" s="93">
        <f t="shared" si="17"/>
        <v>194</v>
      </c>
      <c r="BJ28" s="93">
        <f t="shared" si="18"/>
        <v>343</v>
      </c>
      <c r="BK28" s="380">
        <v>23961</v>
      </c>
      <c r="BL28" s="380">
        <v>13896</v>
      </c>
      <c r="BM28" s="380">
        <v>2747</v>
      </c>
      <c r="BN28" s="380">
        <v>26480</v>
      </c>
      <c r="BO28" s="96">
        <v>0.98820441999999997</v>
      </c>
      <c r="BP28" s="96">
        <v>0.99873113999999996</v>
      </c>
      <c r="BQ28" s="5">
        <f t="shared" si="7"/>
        <v>0</v>
      </c>
      <c r="BR28" s="5">
        <f t="shared" si="8"/>
        <v>0</v>
      </c>
      <c r="BS28" s="309">
        <v>0</v>
      </c>
      <c r="BT28" s="381">
        <v>0</v>
      </c>
      <c r="BU28" s="381">
        <v>0</v>
      </c>
      <c r="BV28" s="381">
        <v>0</v>
      </c>
      <c r="BW28" s="381">
        <v>0</v>
      </c>
      <c r="BX28" s="381">
        <v>0</v>
      </c>
      <c r="BY28" s="382">
        <v>0</v>
      </c>
      <c r="BZ28" s="382">
        <v>0</v>
      </c>
      <c r="CA28" s="382">
        <v>0</v>
      </c>
      <c r="CB28" s="382">
        <v>0</v>
      </c>
      <c r="CC28" s="382">
        <v>0</v>
      </c>
      <c r="CD28" s="383">
        <v>0</v>
      </c>
      <c r="CE28" s="383">
        <v>0</v>
      </c>
      <c r="CF28" s="383">
        <v>0</v>
      </c>
      <c r="CG28" s="383">
        <v>0</v>
      </c>
      <c r="CH28" s="383">
        <v>0</v>
      </c>
      <c r="CI28" s="383">
        <v>0</v>
      </c>
      <c r="CJ28" s="383">
        <v>0</v>
      </c>
      <c r="CK28" s="383">
        <v>0</v>
      </c>
      <c r="CL28" s="383">
        <v>0</v>
      </c>
      <c r="CM28" s="383">
        <v>0</v>
      </c>
      <c r="CN28" s="383">
        <v>0</v>
      </c>
      <c r="CO28" s="383">
        <v>0</v>
      </c>
      <c r="CP28" s="383">
        <v>0</v>
      </c>
      <c r="CQ28" s="383">
        <v>0</v>
      </c>
      <c r="CR28" s="383">
        <v>0</v>
      </c>
      <c r="CS28" s="383">
        <v>0</v>
      </c>
      <c r="CT28" s="383">
        <v>0</v>
      </c>
      <c r="CU28" s="383">
        <v>0</v>
      </c>
      <c r="CV28" s="25">
        <f t="shared" si="9"/>
        <v>0</v>
      </c>
      <c r="CW28" s="25">
        <f t="shared" si="10"/>
        <v>0</v>
      </c>
      <c r="CX28" s="25">
        <f t="shared" si="11"/>
        <v>0</v>
      </c>
      <c r="CY28" s="25">
        <f t="shared" si="12"/>
        <v>0</v>
      </c>
      <c r="CZ28" s="25">
        <f t="shared" si="13"/>
        <v>0</v>
      </c>
      <c r="DA28" s="384">
        <v>0</v>
      </c>
      <c r="DB28" s="384">
        <v>0</v>
      </c>
      <c r="DC28" s="384">
        <v>0</v>
      </c>
      <c r="DD28" s="384">
        <v>0</v>
      </c>
      <c r="DE28" s="384">
        <v>0</v>
      </c>
      <c r="DF28" s="384">
        <v>0</v>
      </c>
      <c r="DG28" s="384">
        <v>0</v>
      </c>
      <c r="DH28" s="384">
        <v>0</v>
      </c>
      <c r="DI28" s="384">
        <v>0</v>
      </c>
      <c r="DJ28" s="384">
        <v>0</v>
      </c>
      <c r="DK28" s="384">
        <v>0</v>
      </c>
      <c r="DL28" s="384">
        <v>0</v>
      </c>
      <c r="DM28" s="384">
        <v>0</v>
      </c>
      <c r="DN28" s="384">
        <v>0</v>
      </c>
      <c r="DO28" s="384">
        <v>0</v>
      </c>
      <c r="DP28" s="384">
        <v>0</v>
      </c>
      <c r="DQ28" s="384">
        <v>0</v>
      </c>
      <c r="DR28" s="384">
        <v>0</v>
      </c>
      <c r="DS28" s="94">
        <f t="shared" si="19"/>
        <v>0</v>
      </c>
      <c r="DT28" s="94">
        <f t="shared" si="20"/>
        <v>0</v>
      </c>
      <c r="DU28" s="94">
        <f t="shared" si="21"/>
        <v>0</v>
      </c>
      <c r="DV28" s="94">
        <f t="shared" si="22"/>
        <v>0</v>
      </c>
      <c r="DW28" s="94">
        <f t="shared" si="23"/>
        <v>0</v>
      </c>
      <c r="DX28" s="385">
        <v>0</v>
      </c>
      <c r="DY28" s="385">
        <v>0</v>
      </c>
      <c r="DZ28" s="385">
        <v>0</v>
      </c>
      <c r="EA28" s="385">
        <v>0</v>
      </c>
      <c r="EB28" s="96"/>
      <c r="EC28" s="96"/>
    </row>
    <row r="29" spans="1:133" ht="12.95" customHeight="1">
      <c r="A29" s="2">
        <v>26</v>
      </c>
      <c r="B29" s="3" t="s">
        <v>83</v>
      </c>
      <c r="C29" s="3" t="s">
        <v>84</v>
      </c>
      <c r="D29" s="4">
        <f t="shared" si="0"/>
        <v>29</v>
      </c>
      <c r="E29" s="4">
        <f t="shared" si="1"/>
        <v>6</v>
      </c>
      <c r="F29" s="312">
        <v>0</v>
      </c>
      <c r="G29" s="376">
        <v>18</v>
      </c>
      <c r="H29" s="376">
        <v>3</v>
      </c>
      <c r="I29" s="376">
        <v>6</v>
      </c>
      <c r="J29" s="376">
        <v>0</v>
      </c>
      <c r="K29" s="376">
        <v>2</v>
      </c>
      <c r="L29" s="377">
        <v>27</v>
      </c>
      <c r="M29" s="377">
        <v>0</v>
      </c>
      <c r="N29" s="377">
        <v>0</v>
      </c>
      <c r="O29" s="377">
        <v>2</v>
      </c>
      <c r="P29" s="377">
        <v>0</v>
      </c>
      <c r="Q29" s="378">
        <v>0</v>
      </c>
      <c r="R29" s="378">
        <v>0</v>
      </c>
      <c r="S29" s="378">
        <v>0</v>
      </c>
      <c r="T29" s="378">
        <v>2</v>
      </c>
      <c r="U29" s="378">
        <v>5</v>
      </c>
      <c r="V29" s="378">
        <v>4</v>
      </c>
      <c r="W29" s="378">
        <v>3</v>
      </c>
      <c r="X29" s="378">
        <v>3</v>
      </c>
      <c r="Y29" s="378">
        <v>7</v>
      </c>
      <c r="Z29" s="378">
        <v>1</v>
      </c>
      <c r="AA29" s="378">
        <v>3</v>
      </c>
      <c r="AB29" s="378">
        <v>0</v>
      </c>
      <c r="AC29" s="378">
        <v>1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24">
        <f t="shared" si="2"/>
        <v>0</v>
      </c>
      <c r="AJ29" s="24">
        <f t="shared" si="3"/>
        <v>11</v>
      </c>
      <c r="AK29" s="24">
        <f t="shared" si="4"/>
        <v>17</v>
      </c>
      <c r="AL29" s="24">
        <f t="shared" si="5"/>
        <v>1</v>
      </c>
      <c r="AM29" s="24">
        <f t="shared" si="6"/>
        <v>0</v>
      </c>
      <c r="AN29" s="379">
        <v>0</v>
      </c>
      <c r="AO29" s="379">
        <v>0</v>
      </c>
      <c r="AP29" s="379">
        <v>0</v>
      </c>
      <c r="AQ29" s="379">
        <v>0</v>
      </c>
      <c r="AR29" s="379">
        <v>3</v>
      </c>
      <c r="AS29" s="379">
        <v>0</v>
      </c>
      <c r="AT29" s="379">
        <v>0</v>
      </c>
      <c r="AU29" s="379">
        <v>1</v>
      </c>
      <c r="AV29" s="379">
        <v>0</v>
      </c>
      <c r="AW29" s="379">
        <v>1</v>
      </c>
      <c r="AX29" s="379">
        <v>0</v>
      </c>
      <c r="AY29" s="379">
        <v>0</v>
      </c>
      <c r="AZ29" s="379">
        <v>1</v>
      </c>
      <c r="BA29" s="379">
        <v>0</v>
      </c>
      <c r="BB29" s="379">
        <v>0</v>
      </c>
      <c r="BC29" s="379">
        <v>0</v>
      </c>
      <c r="BD29" s="379">
        <v>0</v>
      </c>
      <c r="BE29" s="379">
        <v>0</v>
      </c>
      <c r="BF29" s="93">
        <f t="shared" si="14"/>
        <v>0</v>
      </c>
      <c r="BG29" s="93">
        <f t="shared" si="15"/>
        <v>3</v>
      </c>
      <c r="BH29" s="93">
        <f t="shared" si="16"/>
        <v>2</v>
      </c>
      <c r="BI29" s="93">
        <f t="shared" si="17"/>
        <v>1</v>
      </c>
      <c r="BJ29" s="93">
        <f t="shared" si="18"/>
        <v>0</v>
      </c>
      <c r="BK29" s="380">
        <v>554</v>
      </c>
      <c r="BL29" s="380">
        <v>421</v>
      </c>
      <c r="BM29" s="380">
        <v>264</v>
      </c>
      <c r="BN29" s="380">
        <v>580</v>
      </c>
      <c r="BO29" s="96">
        <v>0.80470591999999996</v>
      </c>
      <c r="BP29" s="96">
        <v>0.82653885999999999</v>
      </c>
      <c r="BQ29" s="5">
        <f t="shared" si="7"/>
        <v>0</v>
      </c>
      <c r="BR29" s="5">
        <f t="shared" si="8"/>
        <v>0</v>
      </c>
      <c r="BS29" s="309">
        <v>0</v>
      </c>
      <c r="BT29" s="381">
        <v>0</v>
      </c>
      <c r="BU29" s="381">
        <v>0</v>
      </c>
      <c r="BV29" s="381">
        <v>0</v>
      </c>
      <c r="BW29" s="381">
        <v>0</v>
      </c>
      <c r="BX29" s="381">
        <v>0</v>
      </c>
      <c r="BY29" s="382">
        <v>0</v>
      </c>
      <c r="BZ29" s="382">
        <v>0</v>
      </c>
      <c r="CA29" s="382">
        <v>0</v>
      </c>
      <c r="CB29" s="382">
        <v>0</v>
      </c>
      <c r="CC29" s="382">
        <v>0</v>
      </c>
      <c r="CD29" s="383">
        <v>0</v>
      </c>
      <c r="CE29" s="383">
        <v>0</v>
      </c>
      <c r="CF29" s="383">
        <v>0</v>
      </c>
      <c r="CG29" s="383">
        <v>0</v>
      </c>
      <c r="CH29" s="383">
        <v>0</v>
      </c>
      <c r="CI29" s="383">
        <v>0</v>
      </c>
      <c r="CJ29" s="383">
        <v>0</v>
      </c>
      <c r="CK29" s="383">
        <v>0</v>
      </c>
      <c r="CL29" s="383">
        <v>0</v>
      </c>
      <c r="CM29" s="383">
        <v>0</v>
      </c>
      <c r="CN29" s="383">
        <v>0</v>
      </c>
      <c r="CO29" s="383">
        <v>0</v>
      </c>
      <c r="CP29" s="383">
        <v>0</v>
      </c>
      <c r="CQ29" s="383">
        <v>0</v>
      </c>
      <c r="CR29" s="383">
        <v>0</v>
      </c>
      <c r="CS29" s="383">
        <v>0</v>
      </c>
      <c r="CT29" s="383">
        <v>0</v>
      </c>
      <c r="CU29" s="383">
        <v>0</v>
      </c>
      <c r="CV29" s="25">
        <f t="shared" si="9"/>
        <v>0</v>
      </c>
      <c r="CW29" s="25">
        <f t="shared" si="10"/>
        <v>0</v>
      </c>
      <c r="CX29" s="25">
        <f t="shared" si="11"/>
        <v>0</v>
      </c>
      <c r="CY29" s="25">
        <f t="shared" si="12"/>
        <v>0</v>
      </c>
      <c r="CZ29" s="25">
        <f t="shared" si="13"/>
        <v>0</v>
      </c>
      <c r="DA29" s="384">
        <v>0</v>
      </c>
      <c r="DB29" s="384">
        <v>0</v>
      </c>
      <c r="DC29" s="384">
        <v>0</v>
      </c>
      <c r="DD29" s="384">
        <v>0</v>
      </c>
      <c r="DE29" s="384">
        <v>0</v>
      </c>
      <c r="DF29" s="384">
        <v>0</v>
      </c>
      <c r="DG29" s="384">
        <v>0</v>
      </c>
      <c r="DH29" s="384">
        <v>0</v>
      </c>
      <c r="DI29" s="384">
        <v>0</v>
      </c>
      <c r="DJ29" s="384">
        <v>0</v>
      </c>
      <c r="DK29" s="384">
        <v>0</v>
      </c>
      <c r="DL29" s="384">
        <v>0</v>
      </c>
      <c r="DM29" s="384">
        <v>0</v>
      </c>
      <c r="DN29" s="384">
        <v>0</v>
      </c>
      <c r="DO29" s="384">
        <v>0</v>
      </c>
      <c r="DP29" s="384">
        <v>0</v>
      </c>
      <c r="DQ29" s="384">
        <v>0</v>
      </c>
      <c r="DR29" s="384">
        <v>0</v>
      </c>
      <c r="DS29" s="94">
        <f t="shared" si="19"/>
        <v>0</v>
      </c>
      <c r="DT29" s="94">
        <f t="shared" si="20"/>
        <v>0</v>
      </c>
      <c r="DU29" s="94">
        <f t="shared" si="21"/>
        <v>0</v>
      </c>
      <c r="DV29" s="94">
        <f t="shared" si="22"/>
        <v>0</v>
      </c>
      <c r="DW29" s="94">
        <f t="shared" si="23"/>
        <v>0</v>
      </c>
      <c r="DX29" s="385">
        <v>0</v>
      </c>
      <c r="DY29" s="385">
        <v>0</v>
      </c>
      <c r="DZ29" s="385">
        <v>0</v>
      </c>
      <c r="EA29" s="385">
        <v>0</v>
      </c>
      <c r="EB29" s="96"/>
      <c r="EC29" s="96"/>
    </row>
    <row r="30" spans="1:133" ht="12.95" customHeight="1">
      <c r="A30" s="12">
        <v>27</v>
      </c>
      <c r="B30" s="3" t="s">
        <v>85</v>
      </c>
      <c r="C30" s="3" t="s">
        <v>86</v>
      </c>
      <c r="D30" s="4">
        <f t="shared" si="0"/>
        <v>23</v>
      </c>
      <c r="E30" s="4">
        <f t="shared" si="1"/>
        <v>9</v>
      </c>
      <c r="F30" s="312">
        <v>0</v>
      </c>
      <c r="G30" s="376">
        <v>5</v>
      </c>
      <c r="H30" s="376">
        <v>10</v>
      </c>
      <c r="I30" s="376">
        <v>2</v>
      </c>
      <c r="J30" s="376">
        <v>3</v>
      </c>
      <c r="K30" s="376">
        <v>3</v>
      </c>
      <c r="L30" s="377">
        <v>21</v>
      </c>
      <c r="M30" s="377">
        <v>0</v>
      </c>
      <c r="N30" s="377">
        <v>0</v>
      </c>
      <c r="O30" s="377">
        <v>2</v>
      </c>
      <c r="P30" s="377">
        <v>0</v>
      </c>
      <c r="Q30" s="378">
        <v>0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</v>
      </c>
      <c r="Z30" s="378">
        <v>2</v>
      </c>
      <c r="AA30" s="378">
        <v>4</v>
      </c>
      <c r="AB30" s="378">
        <v>4</v>
      </c>
      <c r="AC30" s="378">
        <v>3</v>
      </c>
      <c r="AD30" s="378">
        <v>3</v>
      </c>
      <c r="AE30" s="378">
        <v>0</v>
      </c>
      <c r="AF30" s="378">
        <v>1</v>
      </c>
      <c r="AG30" s="378">
        <v>3</v>
      </c>
      <c r="AH30" s="378">
        <v>3</v>
      </c>
      <c r="AI30" s="24">
        <f t="shared" si="2"/>
        <v>0</v>
      </c>
      <c r="AJ30" s="24">
        <f t="shared" si="3"/>
        <v>0</v>
      </c>
      <c r="AK30" s="24">
        <f t="shared" si="4"/>
        <v>6</v>
      </c>
      <c r="AL30" s="24">
        <f t="shared" si="5"/>
        <v>10</v>
      </c>
      <c r="AM30" s="24">
        <f t="shared" si="6"/>
        <v>7</v>
      </c>
      <c r="AN30" s="379">
        <v>0</v>
      </c>
      <c r="AO30" s="379">
        <v>0</v>
      </c>
      <c r="AP30" s="379">
        <v>0</v>
      </c>
      <c r="AQ30" s="379">
        <v>0</v>
      </c>
      <c r="AR30" s="379">
        <v>0</v>
      </c>
      <c r="AS30" s="379">
        <v>0</v>
      </c>
      <c r="AT30" s="379">
        <v>0</v>
      </c>
      <c r="AU30" s="379">
        <v>0</v>
      </c>
      <c r="AV30" s="379">
        <v>0</v>
      </c>
      <c r="AW30" s="379">
        <v>0</v>
      </c>
      <c r="AX30" s="379">
        <v>0</v>
      </c>
      <c r="AY30" s="379">
        <v>0</v>
      </c>
      <c r="AZ30" s="379">
        <v>3</v>
      </c>
      <c r="BA30" s="379">
        <v>2</v>
      </c>
      <c r="BB30" s="379">
        <v>2</v>
      </c>
      <c r="BC30" s="379">
        <v>0</v>
      </c>
      <c r="BD30" s="379">
        <v>2</v>
      </c>
      <c r="BE30" s="379">
        <v>0</v>
      </c>
      <c r="BF30" s="93">
        <f t="shared" si="14"/>
        <v>0</v>
      </c>
      <c r="BG30" s="93">
        <f t="shared" si="15"/>
        <v>0</v>
      </c>
      <c r="BH30" s="93">
        <f t="shared" si="16"/>
        <v>0</v>
      </c>
      <c r="BI30" s="93">
        <f t="shared" si="17"/>
        <v>7</v>
      </c>
      <c r="BJ30" s="93">
        <f t="shared" si="18"/>
        <v>2</v>
      </c>
      <c r="BK30" s="380">
        <v>164</v>
      </c>
      <c r="BL30" s="380">
        <v>107</v>
      </c>
      <c r="BM30" s="380">
        <v>61</v>
      </c>
      <c r="BN30" s="380">
        <v>181</v>
      </c>
      <c r="BO30" s="96">
        <v>0.83477365999999997</v>
      </c>
      <c r="BP30" s="96">
        <v>0.74393343999999995</v>
      </c>
      <c r="BQ30" s="5">
        <f t="shared" si="7"/>
        <v>35</v>
      </c>
      <c r="BR30" s="5">
        <f t="shared" si="8"/>
        <v>23</v>
      </c>
      <c r="BS30" s="309">
        <v>0</v>
      </c>
      <c r="BT30" s="381">
        <v>6</v>
      </c>
      <c r="BU30" s="381">
        <v>3</v>
      </c>
      <c r="BV30" s="381">
        <v>10</v>
      </c>
      <c r="BW30" s="381">
        <v>3</v>
      </c>
      <c r="BX30" s="381">
        <v>13</v>
      </c>
      <c r="BY30" s="382">
        <v>28</v>
      </c>
      <c r="BZ30" s="382">
        <v>0</v>
      </c>
      <c r="CA30" s="382">
        <v>1</v>
      </c>
      <c r="CB30" s="382">
        <v>6</v>
      </c>
      <c r="CC30" s="382">
        <v>0</v>
      </c>
      <c r="CD30" s="383">
        <v>0</v>
      </c>
      <c r="CE30" s="383">
        <v>0</v>
      </c>
      <c r="CF30" s="383">
        <v>0</v>
      </c>
      <c r="CG30" s="383">
        <v>0</v>
      </c>
      <c r="CH30" s="383">
        <v>0</v>
      </c>
      <c r="CI30" s="383">
        <v>0</v>
      </c>
      <c r="CJ30" s="383">
        <v>0</v>
      </c>
      <c r="CK30" s="383">
        <v>0</v>
      </c>
      <c r="CL30" s="383">
        <v>0</v>
      </c>
      <c r="CM30" s="383">
        <v>3</v>
      </c>
      <c r="CN30" s="383">
        <v>1</v>
      </c>
      <c r="CO30" s="383">
        <v>2</v>
      </c>
      <c r="CP30" s="383">
        <v>2</v>
      </c>
      <c r="CQ30" s="383">
        <v>7</v>
      </c>
      <c r="CR30" s="383">
        <v>3</v>
      </c>
      <c r="CS30" s="383">
        <v>6</v>
      </c>
      <c r="CT30" s="383">
        <v>5</v>
      </c>
      <c r="CU30" s="383">
        <v>6</v>
      </c>
      <c r="CV30" s="25">
        <f t="shared" si="9"/>
        <v>0</v>
      </c>
      <c r="CW30" s="25">
        <f t="shared" si="10"/>
        <v>0</v>
      </c>
      <c r="CX30" s="25">
        <f t="shared" si="11"/>
        <v>4</v>
      </c>
      <c r="CY30" s="25">
        <f t="shared" si="12"/>
        <v>14</v>
      </c>
      <c r="CZ30" s="25">
        <f t="shared" si="13"/>
        <v>17</v>
      </c>
      <c r="DA30" s="384">
        <v>0</v>
      </c>
      <c r="DB30" s="384">
        <v>0</v>
      </c>
      <c r="DC30" s="384">
        <v>0</v>
      </c>
      <c r="DD30" s="384">
        <v>0</v>
      </c>
      <c r="DE30" s="384">
        <v>0</v>
      </c>
      <c r="DF30" s="384">
        <v>0</v>
      </c>
      <c r="DG30" s="384">
        <v>0</v>
      </c>
      <c r="DH30" s="384">
        <v>0</v>
      </c>
      <c r="DI30" s="384">
        <v>0</v>
      </c>
      <c r="DJ30" s="384">
        <v>1</v>
      </c>
      <c r="DK30" s="384">
        <v>0</v>
      </c>
      <c r="DL30" s="384">
        <v>0</v>
      </c>
      <c r="DM30" s="384">
        <v>2</v>
      </c>
      <c r="DN30" s="384">
        <v>2</v>
      </c>
      <c r="DO30" s="384">
        <v>3</v>
      </c>
      <c r="DP30" s="384">
        <v>3</v>
      </c>
      <c r="DQ30" s="384">
        <v>6</v>
      </c>
      <c r="DR30" s="384">
        <v>6</v>
      </c>
      <c r="DS30" s="94">
        <f t="shared" si="19"/>
        <v>0</v>
      </c>
      <c r="DT30" s="94">
        <f t="shared" si="20"/>
        <v>0</v>
      </c>
      <c r="DU30" s="94">
        <f t="shared" si="21"/>
        <v>1</v>
      </c>
      <c r="DV30" s="94">
        <f t="shared" si="22"/>
        <v>7</v>
      </c>
      <c r="DW30" s="94">
        <f t="shared" si="23"/>
        <v>15</v>
      </c>
      <c r="DX30" s="385">
        <v>172</v>
      </c>
      <c r="DY30" s="385">
        <v>115</v>
      </c>
      <c r="DZ30" s="385">
        <v>75</v>
      </c>
      <c r="EA30" s="385">
        <v>187</v>
      </c>
      <c r="EB30" s="96">
        <v>0.73585904000000002</v>
      </c>
      <c r="EC30" s="96">
        <v>0.63996255000000002</v>
      </c>
    </row>
    <row r="31" spans="1:133" ht="12.95" customHeight="1">
      <c r="A31" s="2">
        <v>28</v>
      </c>
      <c r="B31" s="3" t="s">
        <v>87</v>
      </c>
      <c r="C31" s="3" t="s">
        <v>88</v>
      </c>
      <c r="D31" s="4">
        <f t="shared" si="0"/>
        <v>436</v>
      </c>
      <c r="E31" s="4">
        <f t="shared" si="1"/>
        <v>183</v>
      </c>
      <c r="F31" s="312">
        <v>0</v>
      </c>
      <c r="G31" s="376">
        <v>185</v>
      </c>
      <c r="H31" s="376">
        <v>20</v>
      </c>
      <c r="I31" s="376">
        <v>87</v>
      </c>
      <c r="J31" s="376">
        <v>68</v>
      </c>
      <c r="K31" s="376">
        <v>76</v>
      </c>
      <c r="L31" s="377">
        <v>343</v>
      </c>
      <c r="M31" s="377">
        <v>3</v>
      </c>
      <c r="N31" s="377">
        <v>25</v>
      </c>
      <c r="O31" s="377">
        <v>61</v>
      </c>
      <c r="P31" s="377">
        <v>4</v>
      </c>
      <c r="Q31" s="378">
        <v>3</v>
      </c>
      <c r="R31" s="378">
        <v>1</v>
      </c>
      <c r="S31" s="378">
        <v>0</v>
      </c>
      <c r="T31" s="378">
        <v>1</v>
      </c>
      <c r="U31" s="378">
        <v>0</v>
      </c>
      <c r="V31" s="378">
        <v>0</v>
      </c>
      <c r="W31" s="378">
        <v>2</v>
      </c>
      <c r="X31" s="378">
        <v>4</v>
      </c>
      <c r="Y31" s="378">
        <v>5</v>
      </c>
      <c r="Z31" s="378">
        <v>17</v>
      </c>
      <c r="AA31" s="378">
        <v>46</v>
      </c>
      <c r="AB31" s="378">
        <v>64</v>
      </c>
      <c r="AC31" s="378">
        <v>58</v>
      </c>
      <c r="AD31" s="378">
        <v>78</v>
      </c>
      <c r="AE31" s="378">
        <v>59</v>
      </c>
      <c r="AF31" s="378">
        <v>51</v>
      </c>
      <c r="AG31" s="378">
        <v>27</v>
      </c>
      <c r="AH31" s="378">
        <v>20</v>
      </c>
      <c r="AI31" s="24">
        <f t="shared" si="2"/>
        <v>4</v>
      </c>
      <c r="AJ31" s="24">
        <f t="shared" si="3"/>
        <v>1</v>
      </c>
      <c r="AK31" s="24">
        <f t="shared" si="4"/>
        <v>74</v>
      </c>
      <c r="AL31" s="24">
        <f t="shared" si="5"/>
        <v>259</v>
      </c>
      <c r="AM31" s="24">
        <f t="shared" si="6"/>
        <v>98</v>
      </c>
      <c r="AN31" s="379">
        <v>0</v>
      </c>
      <c r="AO31" s="379">
        <v>0</v>
      </c>
      <c r="AP31" s="379">
        <v>0</v>
      </c>
      <c r="AQ31" s="379">
        <v>1</v>
      </c>
      <c r="AR31" s="379">
        <v>0</v>
      </c>
      <c r="AS31" s="379">
        <v>0</v>
      </c>
      <c r="AT31" s="379">
        <v>0</v>
      </c>
      <c r="AU31" s="379">
        <v>1</v>
      </c>
      <c r="AV31" s="379">
        <v>0</v>
      </c>
      <c r="AW31" s="379">
        <v>4</v>
      </c>
      <c r="AX31" s="379">
        <v>17</v>
      </c>
      <c r="AY31" s="379">
        <v>14</v>
      </c>
      <c r="AZ31" s="379">
        <v>30</v>
      </c>
      <c r="BA31" s="379">
        <v>33</v>
      </c>
      <c r="BB31" s="379">
        <v>19</v>
      </c>
      <c r="BC31" s="379">
        <v>32</v>
      </c>
      <c r="BD31" s="379">
        <v>17</v>
      </c>
      <c r="BE31" s="379">
        <v>15</v>
      </c>
      <c r="BF31" s="93">
        <f t="shared" si="14"/>
        <v>0</v>
      </c>
      <c r="BG31" s="93">
        <f t="shared" si="15"/>
        <v>1</v>
      </c>
      <c r="BH31" s="93">
        <f t="shared" si="16"/>
        <v>22</v>
      </c>
      <c r="BI31" s="93">
        <f t="shared" si="17"/>
        <v>96</v>
      </c>
      <c r="BJ31" s="93">
        <f t="shared" si="18"/>
        <v>64</v>
      </c>
      <c r="BK31" s="380">
        <v>2300</v>
      </c>
      <c r="BL31" s="380">
        <v>1536</v>
      </c>
      <c r="BM31" s="380">
        <v>781</v>
      </c>
      <c r="BN31" s="380">
        <v>2564</v>
      </c>
      <c r="BO31" s="96">
        <v>0.77991188</v>
      </c>
      <c r="BP31" s="96">
        <v>0.64548921999999997</v>
      </c>
      <c r="BQ31" s="5">
        <f t="shared" si="7"/>
        <v>283</v>
      </c>
      <c r="BR31" s="5">
        <f t="shared" si="8"/>
        <v>107</v>
      </c>
      <c r="BS31" s="309">
        <v>0</v>
      </c>
      <c r="BT31" s="381">
        <v>142</v>
      </c>
      <c r="BU31" s="381">
        <v>9</v>
      </c>
      <c r="BV31" s="381">
        <v>49</v>
      </c>
      <c r="BW31" s="381">
        <v>30</v>
      </c>
      <c r="BX31" s="381">
        <v>53</v>
      </c>
      <c r="BY31" s="382">
        <v>219</v>
      </c>
      <c r="BZ31" s="382">
        <v>2</v>
      </c>
      <c r="CA31" s="382">
        <v>17</v>
      </c>
      <c r="CB31" s="382">
        <v>40</v>
      </c>
      <c r="CC31" s="382">
        <v>5</v>
      </c>
      <c r="CD31" s="383">
        <v>2</v>
      </c>
      <c r="CE31" s="383">
        <v>1</v>
      </c>
      <c r="CF31" s="383">
        <v>0</v>
      </c>
      <c r="CG31" s="383">
        <v>1</v>
      </c>
      <c r="CH31" s="383">
        <v>1</v>
      </c>
      <c r="CI31" s="383">
        <v>0</v>
      </c>
      <c r="CJ31" s="383">
        <v>0</v>
      </c>
      <c r="CK31" s="383">
        <v>3</v>
      </c>
      <c r="CL31" s="383">
        <v>3</v>
      </c>
      <c r="CM31" s="383">
        <v>6</v>
      </c>
      <c r="CN31" s="383">
        <v>20</v>
      </c>
      <c r="CO31" s="383">
        <v>24</v>
      </c>
      <c r="CP31" s="383">
        <v>37</v>
      </c>
      <c r="CQ31" s="383">
        <v>52</v>
      </c>
      <c r="CR31" s="383">
        <v>31</v>
      </c>
      <c r="CS31" s="383">
        <v>54</v>
      </c>
      <c r="CT31" s="383">
        <v>34</v>
      </c>
      <c r="CU31" s="383">
        <v>14</v>
      </c>
      <c r="CV31" s="25">
        <f t="shared" si="9"/>
        <v>3</v>
      </c>
      <c r="CW31" s="25">
        <f t="shared" si="10"/>
        <v>2</v>
      </c>
      <c r="CX31" s="25">
        <f t="shared" si="11"/>
        <v>32</v>
      </c>
      <c r="CY31" s="25">
        <f t="shared" si="12"/>
        <v>144</v>
      </c>
      <c r="CZ31" s="25">
        <f t="shared" si="13"/>
        <v>102</v>
      </c>
      <c r="DA31" s="384">
        <v>0</v>
      </c>
      <c r="DB31" s="384">
        <v>0</v>
      </c>
      <c r="DC31" s="384">
        <v>0</v>
      </c>
      <c r="DD31" s="384">
        <v>0</v>
      </c>
      <c r="DE31" s="384">
        <v>0</v>
      </c>
      <c r="DF31" s="384">
        <v>0</v>
      </c>
      <c r="DG31" s="384">
        <v>0</v>
      </c>
      <c r="DH31" s="384">
        <v>1</v>
      </c>
      <c r="DI31" s="384">
        <v>0</v>
      </c>
      <c r="DJ31" s="384">
        <v>3</v>
      </c>
      <c r="DK31" s="384">
        <v>1</v>
      </c>
      <c r="DL31" s="384">
        <v>3</v>
      </c>
      <c r="DM31" s="384">
        <v>9</v>
      </c>
      <c r="DN31" s="384">
        <v>19</v>
      </c>
      <c r="DO31" s="384">
        <v>10</v>
      </c>
      <c r="DP31" s="384">
        <v>27</v>
      </c>
      <c r="DQ31" s="384">
        <v>22</v>
      </c>
      <c r="DR31" s="384">
        <v>12</v>
      </c>
      <c r="DS31" s="94">
        <f t="shared" si="19"/>
        <v>0</v>
      </c>
      <c r="DT31" s="94">
        <f t="shared" si="20"/>
        <v>0</v>
      </c>
      <c r="DU31" s="94">
        <f t="shared" si="21"/>
        <v>5</v>
      </c>
      <c r="DV31" s="94">
        <f t="shared" si="22"/>
        <v>41</v>
      </c>
      <c r="DW31" s="94">
        <f t="shared" si="23"/>
        <v>61</v>
      </c>
      <c r="DX31" s="385">
        <v>2239</v>
      </c>
      <c r="DY31" s="385">
        <v>1579</v>
      </c>
      <c r="DZ31" s="385">
        <v>869</v>
      </c>
      <c r="EA31" s="385">
        <v>2426</v>
      </c>
      <c r="EB31" s="96">
        <v>0.78473598</v>
      </c>
      <c r="EC31" s="96">
        <v>0.66301977999999995</v>
      </c>
    </row>
    <row r="32" spans="1:133" ht="12.95" customHeight="1">
      <c r="A32" s="12">
        <v>29</v>
      </c>
      <c r="B32" s="3" t="s">
        <v>89</v>
      </c>
      <c r="C32" s="3" t="s">
        <v>90</v>
      </c>
      <c r="D32" s="4">
        <f t="shared" si="0"/>
        <v>300</v>
      </c>
      <c r="E32" s="4">
        <f t="shared" si="1"/>
        <v>181</v>
      </c>
      <c r="F32" s="312">
        <v>0</v>
      </c>
      <c r="G32" s="376">
        <v>116</v>
      </c>
      <c r="H32" s="376">
        <v>60</v>
      </c>
      <c r="I32" s="376">
        <v>17</v>
      </c>
      <c r="J32" s="376">
        <v>16</v>
      </c>
      <c r="K32" s="376">
        <v>91</v>
      </c>
      <c r="L32" s="377">
        <v>211</v>
      </c>
      <c r="M32" s="377">
        <v>0</v>
      </c>
      <c r="N32" s="377">
        <v>10</v>
      </c>
      <c r="O32" s="377">
        <v>71</v>
      </c>
      <c r="P32" s="377">
        <v>8</v>
      </c>
      <c r="Q32" s="378">
        <v>0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1</v>
      </c>
      <c r="Y32" s="378">
        <v>0</v>
      </c>
      <c r="Z32" s="378">
        <v>7</v>
      </c>
      <c r="AA32" s="378">
        <v>11</v>
      </c>
      <c r="AB32" s="378">
        <v>25</v>
      </c>
      <c r="AC32" s="378">
        <v>31</v>
      </c>
      <c r="AD32" s="378">
        <v>44</v>
      </c>
      <c r="AE32" s="378">
        <v>49</v>
      </c>
      <c r="AF32" s="378">
        <v>62</v>
      </c>
      <c r="AG32" s="378">
        <v>35</v>
      </c>
      <c r="AH32" s="378">
        <v>35</v>
      </c>
      <c r="AI32" s="24">
        <f t="shared" si="2"/>
        <v>0</v>
      </c>
      <c r="AJ32" s="24">
        <f t="shared" si="3"/>
        <v>0</v>
      </c>
      <c r="AK32" s="24">
        <f t="shared" si="4"/>
        <v>19</v>
      </c>
      <c r="AL32" s="24">
        <f t="shared" si="5"/>
        <v>149</v>
      </c>
      <c r="AM32" s="24">
        <f t="shared" si="6"/>
        <v>132</v>
      </c>
      <c r="AN32" s="379">
        <v>0</v>
      </c>
      <c r="AO32" s="379">
        <v>0</v>
      </c>
      <c r="AP32" s="379">
        <v>0</v>
      </c>
      <c r="AQ32" s="379">
        <v>0</v>
      </c>
      <c r="AR32" s="379">
        <v>0</v>
      </c>
      <c r="AS32" s="379">
        <v>0</v>
      </c>
      <c r="AT32" s="379">
        <v>0</v>
      </c>
      <c r="AU32" s="379">
        <v>1</v>
      </c>
      <c r="AV32" s="379">
        <v>1</v>
      </c>
      <c r="AW32" s="379">
        <v>1</v>
      </c>
      <c r="AX32" s="379">
        <v>4</v>
      </c>
      <c r="AY32" s="379">
        <v>11</v>
      </c>
      <c r="AZ32" s="379">
        <v>15</v>
      </c>
      <c r="BA32" s="379">
        <v>21</v>
      </c>
      <c r="BB32" s="379">
        <v>21</v>
      </c>
      <c r="BC32" s="379">
        <v>40</v>
      </c>
      <c r="BD32" s="379">
        <v>39</v>
      </c>
      <c r="BE32" s="379">
        <v>27</v>
      </c>
      <c r="BF32" s="93">
        <f t="shared" si="14"/>
        <v>0</v>
      </c>
      <c r="BG32" s="93">
        <f t="shared" si="15"/>
        <v>0</v>
      </c>
      <c r="BH32" s="93">
        <f t="shared" si="16"/>
        <v>7</v>
      </c>
      <c r="BI32" s="93">
        <f t="shared" si="17"/>
        <v>68</v>
      </c>
      <c r="BJ32" s="93">
        <f t="shared" si="18"/>
        <v>106</v>
      </c>
      <c r="BK32" s="380">
        <v>1402</v>
      </c>
      <c r="BL32" s="380">
        <v>960</v>
      </c>
      <c r="BM32" s="380">
        <v>568</v>
      </c>
      <c r="BN32" s="380">
        <v>1564</v>
      </c>
      <c r="BO32" s="96">
        <v>0.76133543000000004</v>
      </c>
      <c r="BP32" s="96">
        <v>0.56674944999999999</v>
      </c>
      <c r="BQ32" s="5">
        <f t="shared" si="7"/>
        <v>93</v>
      </c>
      <c r="BR32" s="5">
        <f t="shared" si="8"/>
        <v>53</v>
      </c>
      <c r="BS32" s="309">
        <v>0</v>
      </c>
      <c r="BT32" s="381">
        <v>27</v>
      </c>
      <c r="BU32" s="381">
        <v>14</v>
      </c>
      <c r="BV32" s="381">
        <v>7</v>
      </c>
      <c r="BW32" s="381">
        <v>9</v>
      </c>
      <c r="BX32" s="381">
        <v>36</v>
      </c>
      <c r="BY32" s="382">
        <v>57</v>
      </c>
      <c r="BZ32" s="382">
        <v>0</v>
      </c>
      <c r="CA32" s="382">
        <v>5</v>
      </c>
      <c r="CB32" s="382">
        <v>27</v>
      </c>
      <c r="CC32" s="382">
        <v>5</v>
      </c>
      <c r="CD32" s="383">
        <v>0</v>
      </c>
      <c r="CE32" s="383">
        <v>0</v>
      </c>
      <c r="CF32" s="383">
        <v>0</v>
      </c>
      <c r="CG32" s="383">
        <v>0</v>
      </c>
      <c r="CH32" s="383">
        <v>0</v>
      </c>
      <c r="CI32" s="383">
        <v>0</v>
      </c>
      <c r="CJ32" s="383">
        <v>0</v>
      </c>
      <c r="CK32" s="383">
        <v>2</v>
      </c>
      <c r="CL32" s="383">
        <v>0</v>
      </c>
      <c r="CM32" s="383">
        <v>1</v>
      </c>
      <c r="CN32" s="383">
        <v>3</v>
      </c>
      <c r="CO32" s="383">
        <v>1</v>
      </c>
      <c r="CP32" s="383">
        <v>8</v>
      </c>
      <c r="CQ32" s="383">
        <v>10</v>
      </c>
      <c r="CR32" s="383">
        <v>9</v>
      </c>
      <c r="CS32" s="383">
        <v>16</v>
      </c>
      <c r="CT32" s="383">
        <v>18</v>
      </c>
      <c r="CU32" s="383">
        <v>25</v>
      </c>
      <c r="CV32" s="25">
        <f t="shared" si="9"/>
        <v>0</v>
      </c>
      <c r="CW32" s="25">
        <f t="shared" si="10"/>
        <v>0</v>
      </c>
      <c r="CX32" s="25">
        <f t="shared" si="11"/>
        <v>6</v>
      </c>
      <c r="CY32" s="25">
        <f t="shared" si="12"/>
        <v>28</v>
      </c>
      <c r="CZ32" s="25">
        <f t="shared" si="13"/>
        <v>59</v>
      </c>
      <c r="DA32" s="384">
        <v>0</v>
      </c>
      <c r="DB32" s="384">
        <v>0</v>
      </c>
      <c r="DC32" s="384">
        <v>0</v>
      </c>
      <c r="DD32" s="384">
        <v>0</v>
      </c>
      <c r="DE32" s="384">
        <v>0</v>
      </c>
      <c r="DF32" s="384">
        <v>0</v>
      </c>
      <c r="DG32" s="384">
        <v>0</v>
      </c>
      <c r="DH32" s="384">
        <v>0</v>
      </c>
      <c r="DI32" s="384">
        <v>0</v>
      </c>
      <c r="DJ32" s="384">
        <v>1</v>
      </c>
      <c r="DK32" s="384">
        <v>1</v>
      </c>
      <c r="DL32" s="384">
        <v>0</v>
      </c>
      <c r="DM32" s="384">
        <v>3</v>
      </c>
      <c r="DN32" s="384">
        <v>2</v>
      </c>
      <c r="DO32" s="384">
        <v>4</v>
      </c>
      <c r="DP32" s="384">
        <v>7</v>
      </c>
      <c r="DQ32" s="384">
        <v>15</v>
      </c>
      <c r="DR32" s="384">
        <v>20</v>
      </c>
      <c r="DS32" s="94">
        <f t="shared" si="19"/>
        <v>0</v>
      </c>
      <c r="DT32" s="94">
        <f t="shared" si="20"/>
        <v>0</v>
      </c>
      <c r="DU32" s="94">
        <f t="shared" si="21"/>
        <v>2</v>
      </c>
      <c r="DV32" s="94">
        <f t="shared" si="22"/>
        <v>9</v>
      </c>
      <c r="DW32" s="94">
        <f t="shared" si="23"/>
        <v>42</v>
      </c>
      <c r="DX32" s="385">
        <v>531</v>
      </c>
      <c r="DY32" s="385">
        <v>402</v>
      </c>
      <c r="DZ32" s="385">
        <v>251</v>
      </c>
      <c r="EA32" s="385">
        <v>578</v>
      </c>
      <c r="EB32" s="96">
        <v>0.77928942000000001</v>
      </c>
      <c r="EC32" s="96">
        <v>0.58377981000000001</v>
      </c>
    </row>
    <row r="33" spans="1:133" ht="12.95" customHeight="1">
      <c r="A33" s="2">
        <v>30</v>
      </c>
      <c r="B33" s="3" t="s">
        <v>91</v>
      </c>
      <c r="C33" s="3" t="s">
        <v>92</v>
      </c>
      <c r="D33" s="4">
        <f t="shared" si="0"/>
        <v>18</v>
      </c>
      <c r="E33" s="4">
        <f t="shared" si="1"/>
        <v>14</v>
      </c>
      <c r="F33" s="312">
        <v>0</v>
      </c>
      <c r="G33" s="376">
        <v>3</v>
      </c>
      <c r="H33" s="376">
        <v>1</v>
      </c>
      <c r="I33" s="376">
        <v>4</v>
      </c>
      <c r="J33" s="376">
        <v>5</v>
      </c>
      <c r="K33" s="376">
        <v>5</v>
      </c>
      <c r="L33" s="377">
        <v>13</v>
      </c>
      <c r="M33" s="377">
        <v>0</v>
      </c>
      <c r="N33" s="377">
        <v>1</v>
      </c>
      <c r="O33" s="377">
        <v>4</v>
      </c>
      <c r="P33" s="377">
        <v>0</v>
      </c>
      <c r="Q33" s="378">
        <v>0</v>
      </c>
      <c r="R33" s="378">
        <v>0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2</v>
      </c>
      <c r="AB33" s="378">
        <v>0</v>
      </c>
      <c r="AC33" s="378">
        <v>1</v>
      </c>
      <c r="AD33" s="378">
        <v>1</v>
      </c>
      <c r="AE33" s="378">
        <v>6</v>
      </c>
      <c r="AF33" s="378">
        <v>7</v>
      </c>
      <c r="AG33" s="378">
        <v>1</v>
      </c>
      <c r="AH33" s="378">
        <v>0</v>
      </c>
      <c r="AI33" s="24">
        <f t="shared" si="2"/>
        <v>0</v>
      </c>
      <c r="AJ33" s="24">
        <f t="shared" si="3"/>
        <v>0</v>
      </c>
      <c r="AK33" s="24">
        <f t="shared" si="4"/>
        <v>2</v>
      </c>
      <c r="AL33" s="24">
        <f t="shared" si="5"/>
        <v>8</v>
      </c>
      <c r="AM33" s="24">
        <f t="shared" si="6"/>
        <v>8</v>
      </c>
      <c r="AN33" s="379">
        <v>0</v>
      </c>
      <c r="AO33" s="379">
        <v>0</v>
      </c>
      <c r="AP33" s="379">
        <v>0</v>
      </c>
      <c r="AQ33" s="379">
        <v>0</v>
      </c>
      <c r="AR33" s="379">
        <v>0</v>
      </c>
      <c r="AS33" s="379">
        <v>0</v>
      </c>
      <c r="AT33" s="379">
        <v>0</v>
      </c>
      <c r="AU33" s="379">
        <v>0</v>
      </c>
      <c r="AV33" s="379">
        <v>0</v>
      </c>
      <c r="AW33" s="379">
        <v>0</v>
      </c>
      <c r="AX33" s="379">
        <v>2</v>
      </c>
      <c r="AY33" s="379">
        <v>0</v>
      </c>
      <c r="AZ33" s="379">
        <v>1</v>
      </c>
      <c r="BA33" s="379">
        <v>3</v>
      </c>
      <c r="BB33" s="379">
        <v>2</v>
      </c>
      <c r="BC33" s="379">
        <v>3</v>
      </c>
      <c r="BD33" s="379">
        <v>2</v>
      </c>
      <c r="BE33" s="379">
        <v>1</v>
      </c>
      <c r="BF33" s="93">
        <f t="shared" si="14"/>
        <v>0</v>
      </c>
      <c r="BG33" s="93">
        <f t="shared" si="15"/>
        <v>0</v>
      </c>
      <c r="BH33" s="93">
        <f t="shared" si="16"/>
        <v>2</v>
      </c>
      <c r="BI33" s="93">
        <f t="shared" si="17"/>
        <v>6</v>
      </c>
      <c r="BJ33" s="93">
        <f t="shared" si="18"/>
        <v>6</v>
      </c>
      <c r="BK33" s="380">
        <v>73</v>
      </c>
      <c r="BL33" s="380">
        <v>49</v>
      </c>
      <c r="BM33" s="380">
        <v>34</v>
      </c>
      <c r="BN33" s="380">
        <v>83</v>
      </c>
      <c r="BO33" s="96">
        <v>0.93373733999999997</v>
      </c>
      <c r="BP33" s="96">
        <v>0.41167185000000001</v>
      </c>
      <c r="BQ33" s="5">
        <f t="shared" si="7"/>
        <v>26</v>
      </c>
      <c r="BR33" s="5">
        <f t="shared" si="8"/>
        <v>16</v>
      </c>
      <c r="BS33" s="309">
        <v>0</v>
      </c>
      <c r="BT33" s="381">
        <v>2</v>
      </c>
      <c r="BU33" s="381">
        <v>2</v>
      </c>
      <c r="BV33" s="381">
        <v>9</v>
      </c>
      <c r="BW33" s="381">
        <v>4</v>
      </c>
      <c r="BX33" s="381">
        <v>9</v>
      </c>
      <c r="BY33" s="382">
        <v>19</v>
      </c>
      <c r="BZ33" s="382">
        <v>1</v>
      </c>
      <c r="CA33" s="382">
        <v>0</v>
      </c>
      <c r="CB33" s="382">
        <v>6</v>
      </c>
      <c r="CC33" s="382">
        <v>0</v>
      </c>
      <c r="CD33" s="383">
        <v>0</v>
      </c>
      <c r="CE33" s="383">
        <v>0</v>
      </c>
      <c r="CF33" s="383">
        <v>0</v>
      </c>
      <c r="CG33" s="383">
        <v>0</v>
      </c>
      <c r="CH33" s="383">
        <v>0</v>
      </c>
      <c r="CI33" s="383">
        <v>0</v>
      </c>
      <c r="CJ33" s="383">
        <v>0</v>
      </c>
      <c r="CK33" s="383">
        <v>0</v>
      </c>
      <c r="CL33" s="383">
        <v>0</v>
      </c>
      <c r="CM33" s="383">
        <v>0</v>
      </c>
      <c r="CN33" s="383">
        <v>1</v>
      </c>
      <c r="CO33" s="383">
        <v>0</v>
      </c>
      <c r="CP33" s="383">
        <v>4</v>
      </c>
      <c r="CQ33" s="383">
        <v>1</v>
      </c>
      <c r="CR33" s="383">
        <v>4</v>
      </c>
      <c r="CS33" s="383">
        <v>4</v>
      </c>
      <c r="CT33" s="383">
        <v>8</v>
      </c>
      <c r="CU33" s="383">
        <v>4</v>
      </c>
      <c r="CV33" s="25">
        <f t="shared" si="9"/>
        <v>0</v>
      </c>
      <c r="CW33" s="25">
        <f t="shared" si="10"/>
        <v>0</v>
      </c>
      <c r="CX33" s="25">
        <f t="shared" si="11"/>
        <v>1</v>
      </c>
      <c r="CY33" s="25">
        <f t="shared" si="12"/>
        <v>9</v>
      </c>
      <c r="CZ33" s="25">
        <f t="shared" si="13"/>
        <v>16</v>
      </c>
      <c r="DA33" s="384">
        <v>0</v>
      </c>
      <c r="DB33" s="384">
        <v>0</v>
      </c>
      <c r="DC33" s="384">
        <v>0</v>
      </c>
      <c r="DD33" s="384">
        <v>0</v>
      </c>
      <c r="DE33" s="384">
        <v>0</v>
      </c>
      <c r="DF33" s="384">
        <v>0</v>
      </c>
      <c r="DG33" s="384">
        <v>0</v>
      </c>
      <c r="DH33" s="384">
        <v>0</v>
      </c>
      <c r="DI33" s="384">
        <v>1</v>
      </c>
      <c r="DJ33" s="384">
        <v>0</v>
      </c>
      <c r="DK33" s="384">
        <v>0</v>
      </c>
      <c r="DL33" s="384">
        <v>1</v>
      </c>
      <c r="DM33" s="384">
        <v>1</v>
      </c>
      <c r="DN33" s="384">
        <v>1</v>
      </c>
      <c r="DO33" s="384">
        <v>1</v>
      </c>
      <c r="DP33" s="384">
        <v>6</v>
      </c>
      <c r="DQ33" s="384">
        <v>4</v>
      </c>
      <c r="DR33" s="384">
        <v>1</v>
      </c>
      <c r="DS33" s="94">
        <f t="shared" si="19"/>
        <v>0</v>
      </c>
      <c r="DT33" s="94">
        <f t="shared" si="20"/>
        <v>0</v>
      </c>
      <c r="DU33" s="94">
        <f t="shared" si="21"/>
        <v>1</v>
      </c>
      <c r="DV33" s="94">
        <f t="shared" si="22"/>
        <v>4</v>
      </c>
      <c r="DW33" s="94">
        <f t="shared" si="23"/>
        <v>11</v>
      </c>
      <c r="DX33" s="385">
        <v>69</v>
      </c>
      <c r="DY33" s="385">
        <v>50</v>
      </c>
      <c r="DZ33" s="385">
        <v>24</v>
      </c>
      <c r="EA33" s="385">
        <v>80</v>
      </c>
      <c r="EB33" s="96">
        <v>0.5871383</v>
      </c>
      <c r="EC33" s="96">
        <v>0.23989469999999999</v>
      </c>
    </row>
    <row r="34" spans="1:133" ht="12.95" customHeight="1">
      <c r="A34" s="12">
        <v>31</v>
      </c>
      <c r="B34" s="3" t="s">
        <v>93</v>
      </c>
      <c r="C34" s="3" t="s">
        <v>94</v>
      </c>
      <c r="D34" s="4">
        <f t="shared" si="0"/>
        <v>13</v>
      </c>
      <c r="E34" s="4">
        <f t="shared" si="1"/>
        <v>3</v>
      </c>
      <c r="F34" s="312">
        <v>0</v>
      </c>
      <c r="G34" s="376">
        <v>1</v>
      </c>
      <c r="H34" s="376">
        <v>7</v>
      </c>
      <c r="I34" s="376">
        <v>3</v>
      </c>
      <c r="J34" s="376">
        <v>0</v>
      </c>
      <c r="K34" s="376">
        <v>2</v>
      </c>
      <c r="L34" s="377">
        <v>4</v>
      </c>
      <c r="M34" s="377">
        <v>0</v>
      </c>
      <c r="N34" s="377">
        <v>8</v>
      </c>
      <c r="O34" s="377">
        <v>1</v>
      </c>
      <c r="P34" s="377">
        <v>0</v>
      </c>
      <c r="Q34" s="378">
        <v>3</v>
      </c>
      <c r="R34" s="378">
        <v>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1</v>
      </c>
      <c r="Z34" s="378">
        <v>1</v>
      </c>
      <c r="AA34" s="378">
        <v>0</v>
      </c>
      <c r="AB34" s="378">
        <v>0</v>
      </c>
      <c r="AC34" s="378">
        <v>3</v>
      </c>
      <c r="AD34" s="378">
        <v>2</v>
      </c>
      <c r="AE34" s="378">
        <v>3</v>
      </c>
      <c r="AF34" s="378">
        <v>0</v>
      </c>
      <c r="AG34" s="378">
        <v>0</v>
      </c>
      <c r="AH34" s="378">
        <v>0</v>
      </c>
      <c r="AI34" s="24">
        <f t="shared" si="2"/>
        <v>3</v>
      </c>
      <c r="AJ34" s="24">
        <f t="shared" si="3"/>
        <v>0</v>
      </c>
      <c r="AK34" s="24">
        <f t="shared" si="4"/>
        <v>2</v>
      </c>
      <c r="AL34" s="24">
        <f t="shared" si="5"/>
        <v>8</v>
      </c>
      <c r="AM34" s="24">
        <f t="shared" si="6"/>
        <v>0</v>
      </c>
      <c r="AN34" s="379">
        <v>0</v>
      </c>
      <c r="AO34" s="379">
        <v>0</v>
      </c>
      <c r="AP34" s="379">
        <v>0</v>
      </c>
      <c r="AQ34" s="379">
        <v>0</v>
      </c>
      <c r="AR34" s="379">
        <v>0</v>
      </c>
      <c r="AS34" s="379">
        <v>0</v>
      </c>
      <c r="AT34" s="379">
        <v>0</v>
      </c>
      <c r="AU34" s="379">
        <v>1</v>
      </c>
      <c r="AV34" s="379">
        <v>0</v>
      </c>
      <c r="AW34" s="379">
        <v>0</v>
      </c>
      <c r="AX34" s="379">
        <v>0</v>
      </c>
      <c r="AY34" s="379">
        <v>0</v>
      </c>
      <c r="AZ34" s="379">
        <v>0</v>
      </c>
      <c r="BA34" s="379">
        <v>0</v>
      </c>
      <c r="BB34" s="379">
        <v>1</v>
      </c>
      <c r="BC34" s="379">
        <v>1</v>
      </c>
      <c r="BD34" s="379">
        <v>0</v>
      </c>
      <c r="BE34" s="379">
        <v>0</v>
      </c>
      <c r="BF34" s="93">
        <f t="shared" si="14"/>
        <v>0</v>
      </c>
      <c r="BG34" s="93">
        <f t="shared" si="15"/>
        <v>0</v>
      </c>
      <c r="BH34" s="93">
        <f t="shared" si="16"/>
        <v>1</v>
      </c>
      <c r="BI34" s="93">
        <f t="shared" si="17"/>
        <v>1</v>
      </c>
      <c r="BJ34" s="93">
        <f t="shared" si="18"/>
        <v>1</v>
      </c>
      <c r="BK34" s="380">
        <v>88</v>
      </c>
      <c r="BL34" s="380">
        <v>65</v>
      </c>
      <c r="BM34" s="380">
        <v>40</v>
      </c>
      <c r="BN34" s="380">
        <v>99</v>
      </c>
      <c r="BO34" s="96">
        <v>0.97637521999999999</v>
      </c>
      <c r="BP34" s="96">
        <v>0.59592515000000001</v>
      </c>
      <c r="BQ34" s="5">
        <f t="shared" si="7"/>
        <v>17</v>
      </c>
      <c r="BR34" s="5">
        <f t="shared" si="8"/>
        <v>7</v>
      </c>
      <c r="BS34" s="309">
        <v>0</v>
      </c>
      <c r="BT34" s="381">
        <v>0</v>
      </c>
      <c r="BU34" s="381">
        <v>7</v>
      </c>
      <c r="BV34" s="381">
        <v>4</v>
      </c>
      <c r="BW34" s="381">
        <v>0</v>
      </c>
      <c r="BX34" s="381">
        <v>6</v>
      </c>
      <c r="BY34" s="382">
        <v>6</v>
      </c>
      <c r="BZ34" s="382">
        <v>0</v>
      </c>
      <c r="CA34" s="382">
        <v>8</v>
      </c>
      <c r="CB34" s="382">
        <v>3</v>
      </c>
      <c r="CC34" s="382">
        <v>0</v>
      </c>
      <c r="CD34" s="383">
        <v>0</v>
      </c>
      <c r="CE34" s="383">
        <v>0</v>
      </c>
      <c r="CF34" s="383">
        <v>0</v>
      </c>
      <c r="CG34" s="383">
        <v>0</v>
      </c>
      <c r="CH34" s="383">
        <v>0</v>
      </c>
      <c r="CI34" s="383">
        <v>0</v>
      </c>
      <c r="CJ34" s="383">
        <v>0</v>
      </c>
      <c r="CK34" s="383">
        <v>0</v>
      </c>
      <c r="CL34" s="383">
        <v>2</v>
      </c>
      <c r="CM34" s="383">
        <v>0</v>
      </c>
      <c r="CN34" s="383">
        <v>1</v>
      </c>
      <c r="CO34" s="383">
        <v>1</v>
      </c>
      <c r="CP34" s="383">
        <v>2</v>
      </c>
      <c r="CQ34" s="383">
        <v>1</v>
      </c>
      <c r="CR34" s="383">
        <v>1</v>
      </c>
      <c r="CS34" s="383">
        <v>4</v>
      </c>
      <c r="CT34" s="383">
        <v>3</v>
      </c>
      <c r="CU34" s="383">
        <v>2</v>
      </c>
      <c r="CV34" s="25">
        <f t="shared" si="9"/>
        <v>0</v>
      </c>
      <c r="CW34" s="25">
        <f t="shared" si="10"/>
        <v>0</v>
      </c>
      <c r="CX34" s="25">
        <f t="shared" si="11"/>
        <v>3</v>
      </c>
      <c r="CY34" s="25">
        <f t="shared" si="12"/>
        <v>5</v>
      </c>
      <c r="CZ34" s="25">
        <f t="shared" si="13"/>
        <v>9</v>
      </c>
      <c r="DA34" s="384">
        <v>0</v>
      </c>
      <c r="DB34" s="384">
        <v>0</v>
      </c>
      <c r="DC34" s="384">
        <v>0</v>
      </c>
      <c r="DD34" s="384">
        <v>0</v>
      </c>
      <c r="DE34" s="384">
        <v>0</v>
      </c>
      <c r="DF34" s="384">
        <v>0</v>
      </c>
      <c r="DG34" s="384">
        <v>0</v>
      </c>
      <c r="DH34" s="384">
        <v>0</v>
      </c>
      <c r="DI34" s="384">
        <v>1</v>
      </c>
      <c r="DJ34" s="384">
        <v>0</v>
      </c>
      <c r="DK34" s="384">
        <v>2</v>
      </c>
      <c r="DL34" s="384">
        <v>0</v>
      </c>
      <c r="DM34" s="384">
        <v>0</v>
      </c>
      <c r="DN34" s="384">
        <v>0</v>
      </c>
      <c r="DO34" s="384">
        <v>1</v>
      </c>
      <c r="DP34" s="384">
        <v>0</v>
      </c>
      <c r="DQ34" s="384">
        <v>2</v>
      </c>
      <c r="DR34" s="384">
        <v>1</v>
      </c>
      <c r="DS34" s="94">
        <f t="shared" si="19"/>
        <v>0</v>
      </c>
      <c r="DT34" s="94">
        <f t="shared" si="20"/>
        <v>0</v>
      </c>
      <c r="DU34" s="94">
        <f t="shared" si="21"/>
        <v>3</v>
      </c>
      <c r="DV34" s="94">
        <f t="shared" si="22"/>
        <v>1</v>
      </c>
      <c r="DW34" s="94">
        <f t="shared" si="23"/>
        <v>3</v>
      </c>
      <c r="DX34" s="385">
        <v>157</v>
      </c>
      <c r="DY34" s="385">
        <v>108</v>
      </c>
      <c r="DZ34" s="385">
        <v>76</v>
      </c>
      <c r="EA34" s="385">
        <v>171</v>
      </c>
      <c r="EB34" s="96">
        <v>1</v>
      </c>
      <c r="EC34" s="96">
        <v>0.86243486000000003</v>
      </c>
    </row>
    <row r="35" spans="1:133" ht="12.95" customHeight="1">
      <c r="A35" s="2">
        <v>32</v>
      </c>
      <c r="B35" s="3" t="s">
        <v>95</v>
      </c>
      <c r="C35" s="3" t="s">
        <v>96</v>
      </c>
      <c r="D35" s="4">
        <f t="shared" si="0"/>
        <v>129</v>
      </c>
      <c r="E35" s="4">
        <f t="shared" si="1"/>
        <v>110</v>
      </c>
      <c r="F35" s="312">
        <v>0</v>
      </c>
      <c r="G35" s="376">
        <v>0</v>
      </c>
      <c r="H35" s="376">
        <v>0</v>
      </c>
      <c r="I35" s="376">
        <v>0</v>
      </c>
      <c r="J35" s="376">
        <v>0</v>
      </c>
      <c r="K35" s="376">
        <v>129</v>
      </c>
      <c r="L35" s="377">
        <v>89</v>
      </c>
      <c r="M35" s="377">
        <v>0</v>
      </c>
      <c r="N35" s="377">
        <v>17</v>
      </c>
      <c r="O35" s="377">
        <v>21</v>
      </c>
      <c r="P35" s="377">
        <v>2</v>
      </c>
      <c r="Q35" s="378">
        <v>3</v>
      </c>
      <c r="R35" s="378">
        <v>4</v>
      </c>
      <c r="S35" s="378">
        <v>2</v>
      </c>
      <c r="T35" s="378">
        <v>1</v>
      </c>
      <c r="U35" s="378">
        <v>0</v>
      </c>
      <c r="V35" s="378">
        <v>2</v>
      </c>
      <c r="W35" s="378">
        <v>4</v>
      </c>
      <c r="X35" s="378">
        <v>3</v>
      </c>
      <c r="Y35" s="378">
        <v>5</v>
      </c>
      <c r="Z35" s="378">
        <v>12</v>
      </c>
      <c r="AA35" s="378">
        <v>12</v>
      </c>
      <c r="AB35" s="378">
        <v>17</v>
      </c>
      <c r="AC35" s="378">
        <v>18</v>
      </c>
      <c r="AD35" s="378">
        <v>11</v>
      </c>
      <c r="AE35" s="378">
        <v>15</v>
      </c>
      <c r="AF35" s="378">
        <v>11</v>
      </c>
      <c r="AG35" s="378">
        <v>7</v>
      </c>
      <c r="AH35" s="378">
        <v>2</v>
      </c>
      <c r="AI35" s="24">
        <f t="shared" si="2"/>
        <v>9</v>
      </c>
      <c r="AJ35" s="24">
        <f t="shared" si="3"/>
        <v>3</v>
      </c>
      <c r="AK35" s="24">
        <f t="shared" si="4"/>
        <v>36</v>
      </c>
      <c r="AL35" s="24">
        <f t="shared" si="5"/>
        <v>61</v>
      </c>
      <c r="AM35" s="24">
        <f t="shared" si="6"/>
        <v>20</v>
      </c>
      <c r="AN35" s="379">
        <v>1</v>
      </c>
      <c r="AO35" s="379">
        <v>0</v>
      </c>
      <c r="AP35" s="379">
        <v>2</v>
      </c>
      <c r="AQ35" s="379">
        <v>1</v>
      </c>
      <c r="AR35" s="379">
        <v>1</v>
      </c>
      <c r="AS35" s="379">
        <v>3</v>
      </c>
      <c r="AT35" s="379">
        <v>1</v>
      </c>
      <c r="AU35" s="379">
        <v>6</v>
      </c>
      <c r="AV35" s="379">
        <v>4</v>
      </c>
      <c r="AW35" s="379">
        <v>7</v>
      </c>
      <c r="AX35" s="379">
        <v>11</v>
      </c>
      <c r="AY35" s="379">
        <v>15</v>
      </c>
      <c r="AZ35" s="379">
        <v>14</v>
      </c>
      <c r="BA35" s="379">
        <v>16</v>
      </c>
      <c r="BB35" s="379">
        <v>12</v>
      </c>
      <c r="BC35" s="379">
        <v>7</v>
      </c>
      <c r="BD35" s="379">
        <v>7</v>
      </c>
      <c r="BE35" s="379">
        <v>2</v>
      </c>
      <c r="BF35" s="93">
        <f t="shared" si="14"/>
        <v>3</v>
      </c>
      <c r="BG35" s="93">
        <f t="shared" si="15"/>
        <v>5</v>
      </c>
      <c r="BH35" s="93">
        <f t="shared" si="16"/>
        <v>29</v>
      </c>
      <c r="BI35" s="93">
        <f t="shared" si="17"/>
        <v>57</v>
      </c>
      <c r="BJ35" s="93">
        <f t="shared" si="18"/>
        <v>16</v>
      </c>
      <c r="BK35" s="380">
        <v>354</v>
      </c>
      <c r="BL35" s="380">
        <v>234</v>
      </c>
      <c r="BM35" s="380">
        <v>141</v>
      </c>
      <c r="BN35" s="380">
        <v>428</v>
      </c>
      <c r="BO35" s="96">
        <v>0.45895459999999999</v>
      </c>
      <c r="BP35" s="96">
        <v>0.17776953000000001</v>
      </c>
      <c r="BQ35" s="5">
        <f t="shared" si="7"/>
        <v>141</v>
      </c>
      <c r="BR35" s="5">
        <f t="shared" si="8"/>
        <v>127</v>
      </c>
      <c r="BS35" s="309">
        <v>0</v>
      </c>
      <c r="BT35" s="381">
        <v>0</v>
      </c>
      <c r="BU35" s="381">
        <v>0</v>
      </c>
      <c r="BV35" s="381">
        <v>0</v>
      </c>
      <c r="BW35" s="381">
        <v>0</v>
      </c>
      <c r="BX35" s="381">
        <v>141</v>
      </c>
      <c r="BY35" s="382">
        <v>87</v>
      </c>
      <c r="BZ35" s="382">
        <v>0</v>
      </c>
      <c r="CA35" s="382">
        <v>12</v>
      </c>
      <c r="CB35" s="382">
        <v>37</v>
      </c>
      <c r="CC35" s="382">
        <v>5</v>
      </c>
      <c r="CD35" s="383">
        <v>2</v>
      </c>
      <c r="CE35" s="383">
        <v>7</v>
      </c>
      <c r="CF35" s="383">
        <v>1</v>
      </c>
      <c r="CG35" s="383">
        <v>0</v>
      </c>
      <c r="CH35" s="383">
        <v>4</v>
      </c>
      <c r="CI35" s="383">
        <v>3</v>
      </c>
      <c r="CJ35" s="383">
        <v>4</v>
      </c>
      <c r="CK35" s="383">
        <v>0</v>
      </c>
      <c r="CL35" s="383">
        <v>3</v>
      </c>
      <c r="CM35" s="383">
        <v>4</v>
      </c>
      <c r="CN35" s="383">
        <v>11</v>
      </c>
      <c r="CO35" s="383">
        <v>8</v>
      </c>
      <c r="CP35" s="383">
        <v>14</v>
      </c>
      <c r="CQ35" s="383">
        <v>23</v>
      </c>
      <c r="CR35" s="383">
        <v>20</v>
      </c>
      <c r="CS35" s="383">
        <v>15</v>
      </c>
      <c r="CT35" s="383">
        <v>10</v>
      </c>
      <c r="CU35" s="383">
        <v>12</v>
      </c>
      <c r="CV35" s="25">
        <f t="shared" si="9"/>
        <v>10</v>
      </c>
      <c r="CW35" s="25">
        <f t="shared" si="10"/>
        <v>7</v>
      </c>
      <c r="CX35" s="25">
        <f t="shared" si="11"/>
        <v>22</v>
      </c>
      <c r="CY35" s="25">
        <f t="shared" si="12"/>
        <v>65</v>
      </c>
      <c r="CZ35" s="25">
        <f t="shared" si="13"/>
        <v>37</v>
      </c>
      <c r="DA35" s="384">
        <v>1</v>
      </c>
      <c r="DB35" s="384">
        <v>2</v>
      </c>
      <c r="DC35" s="384">
        <v>1</v>
      </c>
      <c r="DD35" s="384">
        <v>0</v>
      </c>
      <c r="DE35" s="384">
        <v>0</v>
      </c>
      <c r="DF35" s="384">
        <v>1</v>
      </c>
      <c r="DG35" s="384">
        <v>3</v>
      </c>
      <c r="DH35" s="384">
        <v>1</v>
      </c>
      <c r="DI35" s="384">
        <v>4</v>
      </c>
      <c r="DJ35" s="384">
        <v>5</v>
      </c>
      <c r="DK35" s="384">
        <v>5</v>
      </c>
      <c r="DL35" s="384">
        <v>14</v>
      </c>
      <c r="DM35" s="384">
        <v>8</v>
      </c>
      <c r="DN35" s="384">
        <v>27</v>
      </c>
      <c r="DO35" s="384">
        <v>15</v>
      </c>
      <c r="DP35" s="384">
        <v>15</v>
      </c>
      <c r="DQ35" s="384">
        <v>13</v>
      </c>
      <c r="DR35" s="384">
        <v>12</v>
      </c>
      <c r="DS35" s="94">
        <f t="shared" si="19"/>
        <v>4</v>
      </c>
      <c r="DT35" s="94">
        <f t="shared" si="20"/>
        <v>1</v>
      </c>
      <c r="DU35" s="94">
        <f t="shared" si="21"/>
        <v>18</v>
      </c>
      <c r="DV35" s="94">
        <f t="shared" si="22"/>
        <v>64</v>
      </c>
      <c r="DW35" s="94">
        <f t="shared" si="23"/>
        <v>40</v>
      </c>
      <c r="DX35" s="385">
        <v>384</v>
      </c>
      <c r="DY35" s="385">
        <v>252</v>
      </c>
      <c r="DZ35" s="385">
        <v>149</v>
      </c>
      <c r="EA35" s="385">
        <v>446</v>
      </c>
      <c r="EB35" s="96">
        <v>0.42234360999999998</v>
      </c>
      <c r="EC35" s="96">
        <v>0.20703105999999999</v>
      </c>
    </row>
    <row r="36" spans="1:133" ht="12.95" customHeight="1">
      <c r="A36" s="12">
        <v>33</v>
      </c>
      <c r="B36" s="3" t="s">
        <v>97</v>
      </c>
      <c r="C36" s="3" t="s">
        <v>98</v>
      </c>
      <c r="D36" s="4">
        <f t="shared" si="0"/>
        <v>62</v>
      </c>
      <c r="E36" s="4">
        <f t="shared" si="1"/>
        <v>11</v>
      </c>
      <c r="F36" s="312">
        <v>0</v>
      </c>
      <c r="G36" s="376">
        <v>30</v>
      </c>
      <c r="H36" s="376">
        <v>6</v>
      </c>
      <c r="I36" s="376">
        <v>15</v>
      </c>
      <c r="J36" s="376">
        <v>6</v>
      </c>
      <c r="K36" s="376">
        <v>5</v>
      </c>
      <c r="L36" s="377">
        <v>54</v>
      </c>
      <c r="M36" s="377">
        <v>2</v>
      </c>
      <c r="N36" s="377">
        <v>1</v>
      </c>
      <c r="O36" s="377">
        <v>5</v>
      </c>
      <c r="P36" s="377">
        <v>0</v>
      </c>
      <c r="Q36" s="378">
        <v>0</v>
      </c>
      <c r="R36" s="378">
        <v>0</v>
      </c>
      <c r="S36" s="378">
        <v>0</v>
      </c>
      <c r="T36" s="378">
        <v>1</v>
      </c>
      <c r="U36" s="378">
        <v>1</v>
      </c>
      <c r="V36" s="378">
        <v>2</v>
      </c>
      <c r="W36" s="378">
        <v>3</v>
      </c>
      <c r="X36" s="378">
        <v>6</v>
      </c>
      <c r="Y36" s="378">
        <v>6</v>
      </c>
      <c r="Z36" s="378">
        <v>4</v>
      </c>
      <c r="AA36" s="378">
        <v>8</v>
      </c>
      <c r="AB36" s="378">
        <v>7</v>
      </c>
      <c r="AC36" s="378">
        <v>10</v>
      </c>
      <c r="AD36" s="378">
        <v>5</v>
      </c>
      <c r="AE36" s="378">
        <v>5</v>
      </c>
      <c r="AF36" s="378">
        <v>4</v>
      </c>
      <c r="AG36" s="378">
        <v>0</v>
      </c>
      <c r="AH36" s="378">
        <v>0</v>
      </c>
      <c r="AI36" s="24">
        <f t="shared" si="2"/>
        <v>0</v>
      </c>
      <c r="AJ36" s="24">
        <f t="shared" si="3"/>
        <v>4</v>
      </c>
      <c r="AK36" s="24">
        <f t="shared" si="4"/>
        <v>27</v>
      </c>
      <c r="AL36" s="24">
        <f t="shared" si="5"/>
        <v>27</v>
      </c>
      <c r="AM36" s="24">
        <f t="shared" si="6"/>
        <v>4</v>
      </c>
      <c r="AN36" s="379">
        <v>0</v>
      </c>
      <c r="AO36" s="379">
        <v>0</v>
      </c>
      <c r="AP36" s="379">
        <v>0</v>
      </c>
      <c r="AQ36" s="379">
        <v>0</v>
      </c>
      <c r="AR36" s="379">
        <v>0</v>
      </c>
      <c r="AS36" s="379">
        <v>0</v>
      </c>
      <c r="AT36" s="379">
        <v>0</v>
      </c>
      <c r="AU36" s="379">
        <v>0</v>
      </c>
      <c r="AV36" s="379">
        <v>0</v>
      </c>
      <c r="AW36" s="379">
        <v>0</v>
      </c>
      <c r="AX36" s="379">
        <v>2</v>
      </c>
      <c r="AY36" s="379">
        <v>1</v>
      </c>
      <c r="AZ36" s="379">
        <v>2</v>
      </c>
      <c r="BA36" s="379">
        <v>0</v>
      </c>
      <c r="BB36" s="379">
        <v>2</v>
      </c>
      <c r="BC36" s="379">
        <v>3</v>
      </c>
      <c r="BD36" s="379">
        <v>0</v>
      </c>
      <c r="BE36" s="379">
        <v>1</v>
      </c>
      <c r="BF36" s="93">
        <f t="shared" si="14"/>
        <v>0</v>
      </c>
      <c r="BG36" s="93">
        <f t="shared" si="15"/>
        <v>0</v>
      </c>
      <c r="BH36" s="93">
        <f t="shared" si="16"/>
        <v>2</v>
      </c>
      <c r="BI36" s="93">
        <f t="shared" si="17"/>
        <v>5</v>
      </c>
      <c r="BJ36" s="93">
        <f t="shared" si="18"/>
        <v>4</v>
      </c>
      <c r="BK36" s="380">
        <v>535</v>
      </c>
      <c r="BL36" s="380">
        <v>361</v>
      </c>
      <c r="BM36" s="380">
        <v>175</v>
      </c>
      <c r="BN36" s="380">
        <v>581</v>
      </c>
      <c r="BO36" s="96">
        <v>0.89039570000000001</v>
      </c>
      <c r="BP36" s="96">
        <v>0.86832016999999995</v>
      </c>
      <c r="BQ36" s="5">
        <f t="shared" si="7"/>
        <v>282</v>
      </c>
      <c r="BR36" s="5">
        <f t="shared" si="8"/>
        <v>22</v>
      </c>
      <c r="BS36" s="309">
        <v>0</v>
      </c>
      <c r="BT36" s="381">
        <v>172</v>
      </c>
      <c r="BU36" s="381">
        <v>20</v>
      </c>
      <c r="BV36" s="381">
        <v>69</v>
      </c>
      <c r="BW36" s="381">
        <v>17</v>
      </c>
      <c r="BX36" s="381">
        <v>4</v>
      </c>
      <c r="BY36" s="382">
        <v>263</v>
      </c>
      <c r="BZ36" s="382">
        <v>16</v>
      </c>
      <c r="CA36" s="382">
        <v>0</v>
      </c>
      <c r="CB36" s="382">
        <v>3</v>
      </c>
      <c r="CC36" s="382">
        <v>0</v>
      </c>
      <c r="CD36" s="383">
        <v>0</v>
      </c>
      <c r="CE36" s="383">
        <v>0</v>
      </c>
      <c r="CF36" s="383">
        <v>0</v>
      </c>
      <c r="CG36" s="383">
        <v>6</v>
      </c>
      <c r="CH36" s="383">
        <v>6</v>
      </c>
      <c r="CI36" s="383">
        <v>8</v>
      </c>
      <c r="CJ36" s="383">
        <v>12</v>
      </c>
      <c r="CK36" s="383">
        <v>22</v>
      </c>
      <c r="CL36" s="383">
        <v>28</v>
      </c>
      <c r="CM36" s="383">
        <v>37</v>
      </c>
      <c r="CN36" s="383">
        <v>27</v>
      </c>
      <c r="CO36" s="383">
        <v>35</v>
      </c>
      <c r="CP36" s="383">
        <v>27</v>
      </c>
      <c r="CQ36" s="383">
        <v>28</v>
      </c>
      <c r="CR36" s="383">
        <v>18</v>
      </c>
      <c r="CS36" s="383">
        <v>14</v>
      </c>
      <c r="CT36" s="383">
        <v>11</v>
      </c>
      <c r="CU36" s="383">
        <v>3</v>
      </c>
      <c r="CV36" s="25">
        <f t="shared" si="9"/>
        <v>0</v>
      </c>
      <c r="CW36" s="25">
        <f t="shared" si="10"/>
        <v>20</v>
      </c>
      <c r="CX36" s="25">
        <f t="shared" si="11"/>
        <v>126</v>
      </c>
      <c r="CY36" s="25">
        <f t="shared" si="12"/>
        <v>108</v>
      </c>
      <c r="CZ36" s="25">
        <f t="shared" si="13"/>
        <v>28</v>
      </c>
      <c r="DA36" s="384">
        <v>0</v>
      </c>
      <c r="DB36" s="384">
        <v>0</v>
      </c>
      <c r="DC36" s="384">
        <v>0</v>
      </c>
      <c r="DD36" s="384">
        <v>0</v>
      </c>
      <c r="DE36" s="384">
        <v>0</v>
      </c>
      <c r="DF36" s="384">
        <v>0</v>
      </c>
      <c r="DG36" s="384">
        <v>0</v>
      </c>
      <c r="DH36" s="384">
        <v>0</v>
      </c>
      <c r="DI36" s="384">
        <v>0</v>
      </c>
      <c r="DJ36" s="384">
        <v>0</v>
      </c>
      <c r="DK36" s="384">
        <v>0</v>
      </c>
      <c r="DL36" s="384">
        <v>0</v>
      </c>
      <c r="DM36" s="384">
        <v>2</v>
      </c>
      <c r="DN36" s="384">
        <v>2</v>
      </c>
      <c r="DO36" s="384">
        <v>2</v>
      </c>
      <c r="DP36" s="384">
        <v>5</v>
      </c>
      <c r="DQ36" s="384">
        <v>9</v>
      </c>
      <c r="DR36" s="384">
        <v>2</v>
      </c>
      <c r="DS36" s="94">
        <f t="shared" si="19"/>
        <v>0</v>
      </c>
      <c r="DT36" s="94">
        <f t="shared" si="20"/>
        <v>0</v>
      </c>
      <c r="DU36" s="94">
        <f t="shared" si="21"/>
        <v>0</v>
      </c>
      <c r="DV36" s="94">
        <f t="shared" si="22"/>
        <v>6</v>
      </c>
      <c r="DW36" s="94">
        <f t="shared" si="23"/>
        <v>16</v>
      </c>
      <c r="DX36" s="385">
        <v>3895</v>
      </c>
      <c r="DY36" s="385">
        <v>2913</v>
      </c>
      <c r="DZ36" s="385">
        <v>1627</v>
      </c>
      <c r="EA36" s="385">
        <v>4151</v>
      </c>
      <c r="EB36" s="96">
        <v>1</v>
      </c>
      <c r="EC36" s="96">
        <v>1</v>
      </c>
    </row>
    <row r="37" spans="1:133" ht="12.95" customHeight="1">
      <c r="A37" s="2">
        <v>34</v>
      </c>
      <c r="B37" s="3" t="s">
        <v>99</v>
      </c>
      <c r="C37" s="3" t="s">
        <v>100</v>
      </c>
      <c r="D37" s="4">
        <f t="shared" si="0"/>
        <v>13</v>
      </c>
      <c r="E37" s="4">
        <f t="shared" si="1"/>
        <v>12</v>
      </c>
      <c r="F37" s="312">
        <v>0</v>
      </c>
      <c r="G37" s="376">
        <v>0</v>
      </c>
      <c r="H37" s="376">
        <v>0</v>
      </c>
      <c r="I37" s="376">
        <v>0</v>
      </c>
      <c r="J37" s="376">
        <v>6</v>
      </c>
      <c r="K37" s="376">
        <v>7</v>
      </c>
      <c r="L37" s="377">
        <v>5</v>
      </c>
      <c r="M37" s="377">
        <v>0</v>
      </c>
      <c r="N37" s="377">
        <v>3</v>
      </c>
      <c r="O37" s="377">
        <v>5</v>
      </c>
      <c r="P37" s="377">
        <v>0</v>
      </c>
      <c r="Q37" s="378">
        <v>1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1</v>
      </c>
      <c r="AB37" s="378">
        <v>1</v>
      </c>
      <c r="AC37" s="378">
        <v>0</v>
      </c>
      <c r="AD37" s="378">
        <v>2</v>
      </c>
      <c r="AE37" s="378">
        <v>3</v>
      </c>
      <c r="AF37" s="378">
        <v>3</v>
      </c>
      <c r="AG37" s="378">
        <v>0</v>
      </c>
      <c r="AH37" s="378">
        <v>2</v>
      </c>
      <c r="AI37" s="24">
        <f t="shared" si="2"/>
        <v>1</v>
      </c>
      <c r="AJ37" s="24">
        <f t="shared" si="3"/>
        <v>0</v>
      </c>
      <c r="AK37" s="24">
        <f t="shared" si="4"/>
        <v>1</v>
      </c>
      <c r="AL37" s="24">
        <f t="shared" si="5"/>
        <v>6</v>
      </c>
      <c r="AM37" s="24">
        <f t="shared" si="6"/>
        <v>5</v>
      </c>
      <c r="AN37" s="379">
        <v>1</v>
      </c>
      <c r="AO37" s="379">
        <v>0</v>
      </c>
      <c r="AP37" s="379">
        <v>0</v>
      </c>
      <c r="AQ37" s="379">
        <v>0</v>
      </c>
      <c r="AR37" s="379">
        <v>0</v>
      </c>
      <c r="AS37" s="379">
        <v>0</v>
      </c>
      <c r="AT37" s="379">
        <v>0</v>
      </c>
      <c r="AU37" s="379">
        <v>0</v>
      </c>
      <c r="AV37" s="379">
        <v>0</v>
      </c>
      <c r="AW37" s="379">
        <v>0</v>
      </c>
      <c r="AX37" s="379">
        <v>1</v>
      </c>
      <c r="AY37" s="379">
        <v>1</v>
      </c>
      <c r="AZ37" s="379">
        <v>0</v>
      </c>
      <c r="BA37" s="379">
        <v>2</v>
      </c>
      <c r="BB37" s="379">
        <v>2</v>
      </c>
      <c r="BC37" s="379">
        <v>3</v>
      </c>
      <c r="BD37" s="379">
        <v>0</v>
      </c>
      <c r="BE37" s="379">
        <v>2</v>
      </c>
      <c r="BF37" s="93">
        <f t="shared" si="14"/>
        <v>1</v>
      </c>
      <c r="BG37" s="93">
        <f t="shared" si="15"/>
        <v>0</v>
      </c>
      <c r="BH37" s="93">
        <f t="shared" si="16"/>
        <v>1</v>
      </c>
      <c r="BI37" s="93">
        <f t="shared" si="17"/>
        <v>5</v>
      </c>
      <c r="BJ37" s="93">
        <f t="shared" si="18"/>
        <v>5</v>
      </c>
      <c r="BK37" s="380">
        <v>40</v>
      </c>
      <c r="BL37" s="380">
        <v>24</v>
      </c>
      <c r="BM37" s="380">
        <v>12</v>
      </c>
      <c r="BN37" s="380">
        <v>43</v>
      </c>
      <c r="BO37" s="96">
        <v>0.56050986000000003</v>
      </c>
      <c r="BP37" s="96">
        <v>0.27176096999999999</v>
      </c>
      <c r="BQ37" s="5">
        <f t="shared" si="7"/>
        <v>7</v>
      </c>
      <c r="BR37" s="5">
        <f t="shared" si="8"/>
        <v>3</v>
      </c>
      <c r="BS37" s="309">
        <v>0</v>
      </c>
      <c r="BT37" s="381">
        <v>1</v>
      </c>
      <c r="BU37" s="381">
        <v>0</v>
      </c>
      <c r="BV37" s="381">
        <v>1</v>
      </c>
      <c r="BW37" s="381">
        <v>2</v>
      </c>
      <c r="BX37" s="381">
        <v>3</v>
      </c>
      <c r="BY37" s="382">
        <v>6</v>
      </c>
      <c r="BZ37" s="382">
        <v>0</v>
      </c>
      <c r="CA37" s="382">
        <v>0</v>
      </c>
      <c r="CB37" s="382">
        <v>1</v>
      </c>
      <c r="CC37" s="382">
        <v>0</v>
      </c>
      <c r="CD37" s="383">
        <v>0</v>
      </c>
      <c r="CE37" s="383">
        <v>0</v>
      </c>
      <c r="CF37" s="383">
        <v>0</v>
      </c>
      <c r="CG37" s="383">
        <v>0</v>
      </c>
      <c r="CH37" s="383">
        <v>1</v>
      </c>
      <c r="CI37" s="383">
        <v>0</v>
      </c>
      <c r="CJ37" s="383">
        <v>0</v>
      </c>
      <c r="CK37" s="383">
        <v>0</v>
      </c>
      <c r="CL37" s="383">
        <v>1</v>
      </c>
      <c r="CM37" s="383">
        <v>0</v>
      </c>
      <c r="CN37" s="383">
        <v>1</v>
      </c>
      <c r="CO37" s="383">
        <v>1</v>
      </c>
      <c r="CP37" s="383">
        <v>0</v>
      </c>
      <c r="CQ37" s="383">
        <v>1</v>
      </c>
      <c r="CR37" s="383">
        <v>1</v>
      </c>
      <c r="CS37" s="383">
        <v>0</v>
      </c>
      <c r="CT37" s="383">
        <v>0</v>
      </c>
      <c r="CU37" s="383">
        <v>1</v>
      </c>
      <c r="CV37" s="25">
        <f t="shared" si="9"/>
        <v>0</v>
      </c>
      <c r="CW37" s="25">
        <f t="shared" si="10"/>
        <v>1</v>
      </c>
      <c r="CX37" s="25">
        <f t="shared" si="11"/>
        <v>2</v>
      </c>
      <c r="CY37" s="25">
        <f t="shared" si="12"/>
        <v>3</v>
      </c>
      <c r="CZ37" s="25">
        <f t="shared" si="13"/>
        <v>1</v>
      </c>
      <c r="DA37" s="384">
        <v>0</v>
      </c>
      <c r="DB37" s="384">
        <v>0</v>
      </c>
      <c r="DC37" s="384">
        <v>0</v>
      </c>
      <c r="DD37" s="384">
        <v>0</v>
      </c>
      <c r="DE37" s="384">
        <v>0</v>
      </c>
      <c r="DF37" s="384">
        <v>0</v>
      </c>
      <c r="DG37" s="384">
        <v>0</v>
      </c>
      <c r="DH37" s="384">
        <v>0</v>
      </c>
      <c r="DI37" s="384">
        <v>1</v>
      </c>
      <c r="DJ37" s="384">
        <v>0</v>
      </c>
      <c r="DK37" s="384">
        <v>0</v>
      </c>
      <c r="DL37" s="384">
        <v>1</v>
      </c>
      <c r="DM37" s="384">
        <v>0</v>
      </c>
      <c r="DN37" s="384">
        <v>0</v>
      </c>
      <c r="DO37" s="384">
        <v>0</v>
      </c>
      <c r="DP37" s="384">
        <v>0</v>
      </c>
      <c r="DQ37" s="384">
        <v>1</v>
      </c>
      <c r="DR37" s="384">
        <v>0</v>
      </c>
      <c r="DS37" s="94">
        <f t="shared" si="19"/>
        <v>0</v>
      </c>
      <c r="DT37" s="94">
        <f t="shared" si="20"/>
        <v>0</v>
      </c>
      <c r="DU37" s="94">
        <f t="shared" si="21"/>
        <v>1</v>
      </c>
      <c r="DV37" s="94">
        <f t="shared" si="22"/>
        <v>1</v>
      </c>
      <c r="DW37" s="94">
        <f t="shared" si="23"/>
        <v>1</v>
      </c>
      <c r="DX37" s="385">
        <v>73</v>
      </c>
      <c r="DY37" s="385">
        <v>61</v>
      </c>
      <c r="DZ37" s="385">
        <v>38</v>
      </c>
      <c r="EA37" s="385">
        <v>77</v>
      </c>
      <c r="EB37" s="96">
        <v>0.68486117999999996</v>
      </c>
      <c r="EC37" s="96">
        <v>0.70055866</v>
      </c>
    </row>
    <row r="38" spans="1:133" ht="12.95" customHeight="1">
      <c r="A38" s="12">
        <v>35</v>
      </c>
      <c r="B38" s="3" t="s">
        <v>101</v>
      </c>
      <c r="C38" s="3" t="s">
        <v>102</v>
      </c>
      <c r="D38" s="4">
        <f t="shared" si="0"/>
        <v>227</v>
      </c>
      <c r="E38" s="4">
        <f t="shared" si="1"/>
        <v>207</v>
      </c>
      <c r="F38" s="312">
        <v>0</v>
      </c>
      <c r="G38" s="376">
        <v>0</v>
      </c>
      <c r="H38" s="376">
        <v>0</v>
      </c>
      <c r="I38" s="376">
        <v>0</v>
      </c>
      <c r="J38" s="376">
        <v>101</v>
      </c>
      <c r="K38" s="376">
        <v>126</v>
      </c>
      <c r="L38" s="377">
        <v>58</v>
      </c>
      <c r="M38" s="377">
        <v>1</v>
      </c>
      <c r="N38" s="377">
        <v>53</v>
      </c>
      <c r="O38" s="377">
        <v>102</v>
      </c>
      <c r="P38" s="377">
        <v>13</v>
      </c>
      <c r="Q38" s="378">
        <v>0</v>
      </c>
      <c r="R38" s="378">
        <v>0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1</v>
      </c>
      <c r="Y38" s="378">
        <v>2</v>
      </c>
      <c r="Z38" s="378">
        <v>1</v>
      </c>
      <c r="AA38" s="378">
        <v>12</v>
      </c>
      <c r="AB38" s="378">
        <v>31</v>
      </c>
      <c r="AC38" s="378">
        <v>26</v>
      </c>
      <c r="AD38" s="378">
        <v>39</v>
      </c>
      <c r="AE38" s="378">
        <v>42</v>
      </c>
      <c r="AF38" s="378">
        <v>35</v>
      </c>
      <c r="AG38" s="378">
        <v>23</v>
      </c>
      <c r="AH38" s="378">
        <v>15</v>
      </c>
      <c r="AI38" s="24">
        <f t="shared" si="2"/>
        <v>0</v>
      </c>
      <c r="AJ38" s="24">
        <f t="shared" si="3"/>
        <v>0</v>
      </c>
      <c r="AK38" s="24">
        <f t="shared" si="4"/>
        <v>16</v>
      </c>
      <c r="AL38" s="24">
        <f t="shared" si="5"/>
        <v>138</v>
      </c>
      <c r="AM38" s="24">
        <f t="shared" si="6"/>
        <v>73</v>
      </c>
      <c r="AN38" s="379">
        <v>0</v>
      </c>
      <c r="AO38" s="379">
        <v>0</v>
      </c>
      <c r="AP38" s="379">
        <v>0</v>
      </c>
      <c r="AQ38" s="379">
        <v>0</v>
      </c>
      <c r="AR38" s="379">
        <v>0</v>
      </c>
      <c r="AS38" s="379">
        <v>0</v>
      </c>
      <c r="AT38" s="379">
        <v>0</v>
      </c>
      <c r="AU38" s="379">
        <v>1</v>
      </c>
      <c r="AV38" s="379">
        <v>1</v>
      </c>
      <c r="AW38" s="379">
        <v>0</v>
      </c>
      <c r="AX38" s="379">
        <v>9</v>
      </c>
      <c r="AY38" s="379">
        <v>33</v>
      </c>
      <c r="AZ38" s="379">
        <v>27</v>
      </c>
      <c r="BA38" s="379">
        <v>35</v>
      </c>
      <c r="BB38" s="379">
        <v>34</v>
      </c>
      <c r="BC38" s="379">
        <v>30</v>
      </c>
      <c r="BD38" s="379">
        <v>21</v>
      </c>
      <c r="BE38" s="379">
        <v>16</v>
      </c>
      <c r="BF38" s="93">
        <f t="shared" si="14"/>
        <v>0</v>
      </c>
      <c r="BG38" s="93">
        <f t="shared" si="15"/>
        <v>0</v>
      </c>
      <c r="BH38" s="93">
        <f t="shared" si="16"/>
        <v>11</v>
      </c>
      <c r="BI38" s="93">
        <f t="shared" si="17"/>
        <v>129</v>
      </c>
      <c r="BJ38" s="93">
        <f t="shared" si="18"/>
        <v>67</v>
      </c>
      <c r="BK38" s="380">
        <v>129</v>
      </c>
      <c r="BL38" s="380">
        <v>86</v>
      </c>
      <c r="BM38" s="380">
        <v>44</v>
      </c>
      <c r="BN38" s="380">
        <v>162</v>
      </c>
      <c r="BO38" s="96">
        <v>0.1205881</v>
      </c>
      <c r="BP38" s="96">
        <v>7.4094209999999994E-2</v>
      </c>
      <c r="BQ38" s="5">
        <f t="shared" si="7"/>
        <v>205</v>
      </c>
      <c r="BR38" s="5">
        <f t="shared" si="8"/>
        <v>194</v>
      </c>
      <c r="BS38" s="309">
        <v>0</v>
      </c>
      <c r="BT38" s="381">
        <v>0</v>
      </c>
      <c r="BU38" s="381">
        <v>0</v>
      </c>
      <c r="BV38" s="381">
        <v>4</v>
      </c>
      <c r="BW38" s="381">
        <v>67</v>
      </c>
      <c r="BX38" s="381">
        <v>134</v>
      </c>
      <c r="BY38" s="382">
        <v>47</v>
      </c>
      <c r="BZ38" s="382">
        <v>0</v>
      </c>
      <c r="CA38" s="382">
        <v>37</v>
      </c>
      <c r="CB38" s="382">
        <v>108</v>
      </c>
      <c r="CC38" s="382">
        <v>13</v>
      </c>
      <c r="CD38" s="383">
        <v>0</v>
      </c>
      <c r="CE38" s="383">
        <v>0</v>
      </c>
      <c r="CF38" s="383">
        <v>0</v>
      </c>
      <c r="CG38" s="383">
        <v>0</v>
      </c>
      <c r="CH38" s="383">
        <v>0</v>
      </c>
      <c r="CI38" s="383">
        <v>1</v>
      </c>
      <c r="CJ38" s="383">
        <v>1</v>
      </c>
      <c r="CK38" s="383">
        <v>0</v>
      </c>
      <c r="CL38" s="383">
        <v>3</v>
      </c>
      <c r="CM38" s="383">
        <v>5</v>
      </c>
      <c r="CN38" s="383">
        <v>8</v>
      </c>
      <c r="CO38" s="383">
        <v>10</v>
      </c>
      <c r="CP38" s="383">
        <v>16</v>
      </c>
      <c r="CQ38" s="383">
        <v>17</v>
      </c>
      <c r="CR38" s="383">
        <v>22</v>
      </c>
      <c r="CS38" s="383">
        <v>40</v>
      </c>
      <c r="CT38" s="383">
        <v>42</v>
      </c>
      <c r="CU38" s="383">
        <v>40</v>
      </c>
      <c r="CV38" s="25">
        <f t="shared" si="9"/>
        <v>0</v>
      </c>
      <c r="CW38" s="25">
        <f t="shared" si="10"/>
        <v>1</v>
      </c>
      <c r="CX38" s="25">
        <f t="shared" si="11"/>
        <v>17</v>
      </c>
      <c r="CY38" s="25">
        <f t="shared" si="12"/>
        <v>65</v>
      </c>
      <c r="CZ38" s="25">
        <f t="shared" si="13"/>
        <v>122</v>
      </c>
      <c r="DA38" s="384">
        <v>0</v>
      </c>
      <c r="DB38" s="384">
        <v>0</v>
      </c>
      <c r="DC38" s="384">
        <v>0</v>
      </c>
      <c r="DD38" s="384">
        <v>0</v>
      </c>
      <c r="DE38" s="384">
        <v>0</v>
      </c>
      <c r="DF38" s="384">
        <v>0</v>
      </c>
      <c r="DG38" s="384">
        <v>1</v>
      </c>
      <c r="DH38" s="384">
        <v>0</v>
      </c>
      <c r="DI38" s="384">
        <v>3</v>
      </c>
      <c r="DJ38" s="384">
        <v>3</v>
      </c>
      <c r="DK38" s="384">
        <v>4</v>
      </c>
      <c r="DL38" s="384">
        <v>7</v>
      </c>
      <c r="DM38" s="384">
        <v>14</v>
      </c>
      <c r="DN38" s="384">
        <v>12</v>
      </c>
      <c r="DO38" s="384">
        <v>26</v>
      </c>
      <c r="DP38" s="384">
        <v>37</v>
      </c>
      <c r="DQ38" s="384">
        <v>45</v>
      </c>
      <c r="DR38" s="384">
        <v>42</v>
      </c>
      <c r="DS38" s="94">
        <f t="shared" si="19"/>
        <v>0</v>
      </c>
      <c r="DT38" s="94">
        <f t="shared" si="20"/>
        <v>0</v>
      </c>
      <c r="DU38" s="94">
        <f t="shared" si="21"/>
        <v>11</v>
      </c>
      <c r="DV38" s="94">
        <f t="shared" si="22"/>
        <v>59</v>
      </c>
      <c r="DW38" s="94">
        <f t="shared" si="23"/>
        <v>124</v>
      </c>
      <c r="DX38" s="385">
        <v>210</v>
      </c>
      <c r="DY38" s="385">
        <v>150</v>
      </c>
      <c r="DZ38" s="385">
        <v>90</v>
      </c>
      <c r="EA38" s="385">
        <v>247</v>
      </c>
      <c r="EB38" s="96">
        <v>0.22262968</v>
      </c>
      <c r="EC38" s="96">
        <v>0.13514121000000001</v>
      </c>
    </row>
    <row r="39" spans="1:133" ht="12.95" customHeight="1">
      <c r="A39" s="2">
        <v>36</v>
      </c>
      <c r="B39" s="3" t="s">
        <v>103</v>
      </c>
      <c r="C39" s="3" t="s">
        <v>104</v>
      </c>
      <c r="D39" s="4">
        <f t="shared" si="0"/>
        <v>18</v>
      </c>
      <c r="E39" s="4">
        <f t="shared" si="1"/>
        <v>9</v>
      </c>
      <c r="F39" s="312">
        <v>0</v>
      </c>
      <c r="G39" s="376">
        <v>0</v>
      </c>
      <c r="H39" s="376">
        <v>0</v>
      </c>
      <c r="I39" s="376">
        <v>0</v>
      </c>
      <c r="J39" s="376">
        <v>0</v>
      </c>
      <c r="K39" s="376">
        <v>18</v>
      </c>
      <c r="L39" s="377">
        <v>16</v>
      </c>
      <c r="M39" s="377">
        <v>0</v>
      </c>
      <c r="N39" s="377">
        <v>0</v>
      </c>
      <c r="O39" s="377">
        <v>2</v>
      </c>
      <c r="P39" s="377">
        <v>0</v>
      </c>
      <c r="Q39" s="378">
        <v>0</v>
      </c>
      <c r="R39" s="378">
        <v>0</v>
      </c>
      <c r="S39" s="378">
        <v>0</v>
      </c>
      <c r="T39" s="378">
        <v>0</v>
      </c>
      <c r="U39" s="378">
        <v>4</v>
      </c>
      <c r="V39" s="378">
        <v>3</v>
      </c>
      <c r="W39" s="378">
        <v>3</v>
      </c>
      <c r="X39" s="378">
        <v>0</v>
      </c>
      <c r="Y39" s="378">
        <v>2</v>
      </c>
      <c r="Z39" s="378">
        <v>0</v>
      </c>
      <c r="AA39" s="378">
        <v>1</v>
      </c>
      <c r="AB39" s="378">
        <v>0</v>
      </c>
      <c r="AC39" s="378">
        <v>0</v>
      </c>
      <c r="AD39" s="378">
        <v>2</v>
      </c>
      <c r="AE39" s="378">
        <v>1</v>
      </c>
      <c r="AF39" s="378">
        <v>0</v>
      </c>
      <c r="AG39" s="378">
        <v>1</v>
      </c>
      <c r="AH39" s="378">
        <v>1</v>
      </c>
      <c r="AI39" s="24">
        <f t="shared" si="2"/>
        <v>0</v>
      </c>
      <c r="AJ39" s="24">
        <f t="shared" si="3"/>
        <v>7</v>
      </c>
      <c r="AK39" s="24">
        <f t="shared" si="4"/>
        <v>6</v>
      </c>
      <c r="AL39" s="24">
        <f t="shared" si="5"/>
        <v>3</v>
      </c>
      <c r="AM39" s="24">
        <f t="shared" si="6"/>
        <v>2</v>
      </c>
      <c r="AN39" s="379">
        <v>0</v>
      </c>
      <c r="AO39" s="379">
        <v>0</v>
      </c>
      <c r="AP39" s="379">
        <v>0</v>
      </c>
      <c r="AQ39" s="379">
        <v>0</v>
      </c>
      <c r="AR39" s="379">
        <v>0</v>
      </c>
      <c r="AS39" s="379">
        <v>0</v>
      </c>
      <c r="AT39" s="379">
        <v>0</v>
      </c>
      <c r="AU39" s="379">
        <v>0</v>
      </c>
      <c r="AV39" s="379">
        <v>2</v>
      </c>
      <c r="AW39" s="379">
        <v>0</v>
      </c>
      <c r="AX39" s="379">
        <v>0</v>
      </c>
      <c r="AY39" s="379">
        <v>1</v>
      </c>
      <c r="AZ39" s="379">
        <v>0</v>
      </c>
      <c r="BA39" s="379">
        <v>1</v>
      </c>
      <c r="BB39" s="379">
        <v>1</v>
      </c>
      <c r="BC39" s="379">
        <v>0</v>
      </c>
      <c r="BD39" s="379">
        <v>2</v>
      </c>
      <c r="BE39" s="379">
        <v>2</v>
      </c>
      <c r="BF39" s="93">
        <f t="shared" si="14"/>
        <v>0</v>
      </c>
      <c r="BG39" s="93">
        <f t="shared" si="15"/>
        <v>0</v>
      </c>
      <c r="BH39" s="93">
        <f t="shared" si="16"/>
        <v>2</v>
      </c>
      <c r="BI39" s="93">
        <f t="shared" si="17"/>
        <v>3</v>
      </c>
      <c r="BJ39" s="93">
        <f t="shared" si="18"/>
        <v>4</v>
      </c>
      <c r="BK39" s="380">
        <v>499</v>
      </c>
      <c r="BL39" s="380">
        <v>411</v>
      </c>
      <c r="BM39" s="380">
        <v>293</v>
      </c>
      <c r="BN39" s="380">
        <v>511</v>
      </c>
      <c r="BO39" s="96">
        <v>0.87439215000000003</v>
      </c>
      <c r="BP39" s="96">
        <v>0.78540087000000003</v>
      </c>
      <c r="BQ39" s="5">
        <f t="shared" si="7"/>
        <v>30</v>
      </c>
      <c r="BR39" s="5">
        <f t="shared" si="8"/>
        <v>8</v>
      </c>
      <c r="BS39" s="309">
        <v>0</v>
      </c>
      <c r="BT39" s="381">
        <v>0</v>
      </c>
      <c r="BU39" s="381">
        <v>0</v>
      </c>
      <c r="BV39" s="381">
        <v>0</v>
      </c>
      <c r="BW39" s="381">
        <v>0</v>
      </c>
      <c r="BX39" s="381">
        <v>30</v>
      </c>
      <c r="BY39" s="382">
        <v>27</v>
      </c>
      <c r="BZ39" s="382">
        <v>0</v>
      </c>
      <c r="CA39" s="382">
        <v>0</v>
      </c>
      <c r="CB39" s="382">
        <v>3</v>
      </c>
      <c r="CC39" s="382">
        <v>0</v>
      </c>
      <c r="CD39" s="383">
        <v>0</v>
      </c>
      <c r="CE39" s="383">
        <v>1</v>
      </c>
      <c r="CF39" s="383">
        <v>3</v>
      </c>
      <c r="CG39" s="383">
        <v>5</v>
      </c>
      <c r="CH39" s="383">
        <v>1</v>
      </c>
      <c r="CI39" s="383">
        <v>4</v>
      </c>
      <c r="CJ39" s="383">
        <v>3</v>
      </c>
      <c r="CK39" s="383">
        <v>3</v>
      </c>
      <c r="CL39" s="383">
        <v>3</v>
      </c>
      <c r="CM39" s="383">
        <v>0</v>
      </c>
      <c r="CN39" s="383">
        <v>2</v>
      </c>
      <c r="CO39" s="383">
        <v>0</v>
      </c>
      <c r="CP39" s="383">
        <v>2</v>
      </c>
      <c r="CQ39" s="383">
        <v>0</v>
      </c>
      <c r="CR39" s="383">
        <v>3</v>
      </c>
      <c r="CS39" s="383">
        <v>0</v>
      </c>
      <c r="CT39" s="383">
        <v>0</v>
      </c>
      <c r="CU39" s="383">
        <v>0</v>
      </c>
      <c r="CV39" s="25">
        <f t="shared" si="9"/>
        <v>4</v>
      </c>
      <c r="CW39" s="25">
        <f t="shared" si="10"/>
        <v>10</v>
      </c>
      <c r="CX39" s="25">
        <f t="shared" si="11"/>
        <v>11</v>
      </c>
      <c r="CY39" s="25">
        <f t="shared" si="12"/>
        <v>5</v>
      </c>
      <c r="CZ39" s="25">
        <f t="shared" si="13"/>
        <v>0</v>
      </c>
      <c r="DA39" s="384">
        <v>0</v>
      </c>
      <c r="DB39" s="384">
        <v>0</v>
      </c>
      <c r="DC39" s="384">
        <v>0</v>
      </c>
      <c r="DD39" s="384">
        <v>0</v>
      </c>
      <c r="DE39" s="384">
        <v>0</v>
      </c>
      <c r="DF39" s="384">
        <v>0</v>
      </c>
      <c r="DG39" s="384">
        <v>1</v>
      </c>
      <c r="DH39" s="384">
        <v>0</v>
      </c>
      <c r="DI39" s="384">
        <v>2</v>
      </c>
      <c r="DJ39" s="384">
        <v>1</v>
      </c>
      <c r="DK39" s="384">
        <v>0</v>
      </c>
      <c r="DL39" s="384">
        <v>0</v>
      </c>
      <c r="DM39" s="384">
        <v>1</v>
      </c>
      <c r="DN39" s="384">
        <v>0</v>
      </c>
      <c r="DO39" s="384">
        <v>1</v>
      </c>
      <c r="DP39" s="384">
        <v>0</v>
      </c>
      <c r="DQ39" s="384">
        <v>0</v>
      </c>
      <c r="DR39" s="384">
        <v>2</v>
      </c>
      <c r="DS39" s="94">
        <f t="shared" si="19"/>
        <v>0</v>
      </c>
      <c r="DT39" s="94">
        <f t="shared" si="20"/>
        <v>0</v>
      </c>
      <c r="DU39" s="94">
        <f t="shared" si="21"/>
        <v>4</v>
      </c>
      <c r="DV39" s="94">
        <f t="shared" si="22"/>
        <v>2</v>
      </c>
      <c r="DW39" s="94">
        <f t="shared" si="23"/>
        <v>2</v>
      </c>
      <c r="DX39" s="385">
        <v>662</v>
      </c>
      <c r="DY39" s="385">
        <v>572</v>
      </c>
      <c r="DZ39" s="385">
        <v>415</v>
      </c>
      <c r="EA39" s="385">
        <v>687</v>
      </c>
      <c r="EB39" s="96">
        <v>0.93664329999999996</v>
      </c>
      <c r="EC39" s="96">
        <v>0.84802264000000005</v>
      </c>
    </row>
    <row r="40" spans="1:133" ht="12.95" customHeight="1">
      <c r="A40" s="12">
        <v>37</v>
      </c>
      <c r="B40" s="3" t="s">
        <v>105</v>
      </c>
      <c r="C40" s="3" t="s">
        <v>106</v>
      </c>
      <c r="D40" s="4">
        <f t="shared" si="0"/>
        <v>165</v>
      </c>
      <c r="E40" s="4">
        <f t="shared" si="1"/>
        <v>74</v>
      </c>
      <c r="F40" s="312">
        <v>0</v>
      </c>
      <c r="G40" s="376">
        <v>0</v>
      </c>
      <c r="H40" s="376">
        <v>0</v>
      </c>
      <c r="I40" s="376">
        <v>0</v>
      </c>
      <c r="J40" s="376">
        <v>0</v>
      </c>
      <c r="K40" s="376">
        <v>165</v>
      </c>
      <c r="L40" s="377">
        <v>144</v>
      </c>
      <c r="M40" s="377">
        <v>0</v>
      </c>
      <c r="N40" s="377">
        <v>1</v>
      </c>
      <c r="O40" s="377">
        <v>20</v>
      </c>
      <c r="P40" s="377">
        <v>0</v>
      </c>
      <c r="Q40" s="378">
        <v>2</v>
      </c>
      <c r="R40" s="378">
        <v>1</v>
      </c>
      <c r="S40" s="378">
        <v>3</v>
      </c>
      <c r="T40" s="378">
        <v>1</v>
      </c>
      <c r="U40" s="378">
        <v>1</v>
      </c>
      <c r="V40" s="378">
        <v>2</v>
      </c>
      <c r="W40" s="378">
        <v>9</v>
      </c>
      <c r="X40" s="378">
        <v>7</v>
      </c>
      <c r="Y40" s="378">
        <v>5</v>
      </c>
      <c r="Z40" s="378">
        <v>5</v>
      </c>
      <c r="AA40" s="378">
        <v>4</v>
      </c>
      <c r="AB40" s="378">
        <v>28</v>
      </c>
      <c r="AC40" s="378">
        <v>20</v>
      </c>
      <c r="AD40" s="378">
        <v>20</v>
      </c>
      <c r="AE40" s="378">
        <v>17</v>
      </c>
      <c r="AF40" s="378">
        <v>13</v>
      </c>
      <c r="AG40" s="378">
        <v>18</v>
      </c>
      <c r="AH40" s="378">
        <v>9</v>
      </c>
      <c r="AI40" s="24">
        <f t="shared" si="2"/>
        <v>6</v>
      </c>
      <c r="AJ40" s="24">
        <f t="shared" si="3"/>
        <v>4</v>
      </c>
      <c r="AK40" s="24">
        <f t="shared" si="4"/>
        <v>30</v>
      </c>
      <c r="AL40" s="24">
        <f t="shared" si="5"/>
        <v>85</v>
      </c>
      <c r="AM40" s="24">
        <f t="shared" si="6"/>
        <v>40</v>
      </c>
      <c r="AN40" s="379">
        <v>0</v>
      </c>
      <c r="AO40" s="379">
        <v>0</v>
      </c>
      <c r="AP40" s="379">
        <v>0</v>
      </c>
      <c r="AQ40" s="379">
        <v>0</v>
      </c>
      <c r="AR40" s="379">
        <v>0</v>
      </c>
      <c r="AS40" s="379">
        <v>0</v>
      </c>
      <c r="AT40" s="379">
        <v>1</v>
      </c>
      <c r="AU40" s="379">
        <v>3</v>
      </c>
      <c r="AV40" s="379">
        <v>0</v>
      </c>
      <c r="AW40" s="379">
        <v>0</v>
      </c>
      <c r="AX40" s="379">
        <v>5</v>
      </c>
      <c r="AY40" s="379">
        <v>5</v>
      </c>
      <c r="AZ40" s="379">
        <v>10</v>
      </c>
      <c r="BA40" s="379">
        <v>14</v>
      </c>
      <c r="BB40" s="379">
        <v>9</v>
      </c>
      <c r="BC40" s="379">
        <v>6</v>
      </c>
      <c r="BD40" s="379">
        <v>13</v>
      </c>
      <c r="BE40" s="379">
        <v>8</v>
      </c>
      <c r="BF40" s="93">
        <f t="shared" si="14"/>
        <v>0</v>
      </c>
      <c r="BG40" s="93">
        <f t="shared" si="15"/>
        <v>0</v>
      </c>
      <c r="BH40" s="93">
        <f t="shared" si="16"/>
        <v>9</v>
      </c>
      <c r="BI40" s="93">
        <f t="shared" si="17"/>
        <v>38</v>
      </c>
      <c r="BJ40" s="93">
        <f t="shared" si="18"/>
        <v>27</v>
      </c>
      <c r="BK40" s="380">
        <v>828</v>
      </c>
      <c r="BL40" s="380">
        <v>503</v>
      </c>
      <c r="BM40" s="380">
        <v>263</v>
      </c>
      <c r="BN40" s="380">
        <v>933</v>
      </c>
      <c r="BO40" s="96">
        <v>0.75688601</v>
      </c>
      <c r="BP40" s="96">
        <v>0.48853433000000002</v>
      </c>
      <c r="BQ40" s="5">
        <f t="shared" si="7"/>
        <v>205</v>
      </c>
      <c r="BR40" s="5">
        <f t="shared" si="8"/>
        <v>94</v>
      </c>
      <c r="BS40" s="309">
        <v>0</v>
      </c>
      <c r="BT40" s="381">
        <v>0</v>
      </c>
      <c r="BU40" s="381">
        <v>0</v>
      </c>
      <c r="BV40" s="381">
        <v>0</v>
      </c>
      <c r="BW40" s="381">
        <v>0</v>
      </c>
      <c r="BX40" s="381">
        <v>205</v>
      </c>
      <c r="BY40" s="382">
        <v>175</v>
      </c>
      <c r="BZ40" s="382">
        <v>1</v>
      </c>
      <c r="CA40" s="382">
        <v>1</v>
      </c>
      <c r="CB40" s="382">
        <v>28</v>
      </c>
      <c r="CC40" s="382">
        <v>0</v>
      </c>
      <c r="CD40" s="383">
        <v>1</v>
      </c>
      <c r="CE40" s="383">
        <v>0</v>
      </c>
      <c r="CF40" s="383">
        <v>0</v>
      </c>
      <c r="CG40" s="383">
        <v>1</v>
      </c>
      <c r="CH40" s="383">
        <v>2</v>
      </c>
      <c r="CI40" s="383">
        <v>5</v>
      </c>
      <c r="CJ40" s="383">
        <v>3</v>
      </c>
      <c r="CK40" s="383">
        <v>7</v>
      </c>
      <c r="CL40" s="383">
        <v>4</v>
      </c>
      <c r="CM40" s="383">
        <v>9</v>
      </c>
      <c r="CN40" s="383">
        <v>14</v>
      </c>
      <c r="CO40" s="383">
        <v>14</v>
      </c>
      <c r="CP40" s="383">
        <v>21</v>
      </c>
      <c r="CQ40" s="383">
        <v>20</v>
      </c>
      <c r="CR40" s="383">
        <v>34</v>
      </c>
      <c r="CS40" s="383">
        <v>23</v>
      </c>
      <c r="CT40" s="383">
        <v>31</v>
      </c>
      <c r="CU40" s="383">
        <v>16</v>
      </c>
      <c r="CV40" s="25">
        <f t="shared" si="9"/>
        <v>1</v>
      </c>
      <c r="CW40" s="25">
        <f t="shared" si="10"/>
        <v>8</v>
      </c>
      <c r="CX40" s="25">
        <f t="shared" si="11"/>
        <v>37</v>
      </c>
      <c r="CY40" s="25">
        <f t="shared" si="12"/>
        <v>89</v>
      </c>
      <c r="CZ40" s="25">
        <f t="shared" si="13"/>
        <v>70</v>
      </c>
      <c r="DA40" s="384">
        <v>0</v>
      </c>
      <c r="DB40" s="384">
        <v>0</v>
      </c>
      <c r="DC40" s="384">
        <v>0</v>
      </c>
      <c r="DD40" s="384">
        <v>0</v>
      </c>
      <c r="DE40" s="384">
        <v>0</v>
      </c>
      <c r="DF40" s="384">
        <v>0</v>
      </c>
      <c r="DG40" s="384">
        <v>0</v>
      </c>
      <c r="DH40" s="384">
        <v>2</v>
      </c>
      <c r="DI40" s="384">
        <v>0</v>
      </c>
      <c r="DJ40" s="384">
        <v>0</v>
      </c>
      <c r="DK40" s="384">
        <v>2</v>
      </c>
      <c r="DL40" s="384">
        <v>3</v>
      </c>
      <c r="DM40" s="384">
        <v>7</v>
      </c>
      <c r="DN40" s="384">
        <v>5</v>
      </c>
      <c r="DO40" s="384">
        <v>13</v>
      </c>
      <c r="DP40" s="384">
        <v>18</v>
      </c>
      <c r="DQ40" s="384">
        <v>27</v>
      </c>
      <c r="DR40" s="384">
        <v>17</v>
      </c>
      <c r="DS40" s="94">
        <f t="shared" si="19"/>
        <v>0</v>
      </c>
      <c r="DT40" s="94">
        <f t="shared" si="20"/>
        <v>0</v>
      </c>
      <c r="DU40" s="94">
        <f t="shared" si="21"/>
        <v>4</v>
      </c>
      <c r="DV40" s="94">
        <f t="shared" si="22"/>
        <v>28</v>
      </c>
      <c r="DW40" s="94">
        <f t="shared" si="23"/>
        <v>62</v>
      </c>
      <c r="DX40" s="385">
        <v>1103</v>
      </c>
      <c r="DY40" s="385">
        <v>690</v>
      </c>
      <c r="DZ40" s="385">
        <v>353</v>
      </c>
      <c r="EA40" s="385">
        <v>1227</v>
      </c>
      <c r="EB40" s="96">
        <v>0.71842795999999998</v>
      </c>
      <c r="EC40" s="96">
        <v>0.57178443999999995</v>
      </c>
    </row>
    <row r="41" spans="1:133" ht="12.95" customHeight="1">
      <c r="A41" s="2">
        <v>38</v>
      </c>
      <c r="B41" s="3" t="s">
        <v>107</v>
      </c>
      <c r="C41" s="3" t="s">
        <v>108</v>
      </c>
      <c r="D41" s="4">
        <f t="shared" si="0"/>
        <v>78</v>
      </c>
      <c r="E41" s="4">
        <f t="shared" si="1"/>
        <v>46</v>
      </c>
      <c r="F41" s="312">
        <v>0</v>
      </c>
      <c r="G41" s="376">
        <v>0</v>
      </c>
      <c r="H41" s="376">
        <v>0</v>
      </c>
      <c r="I41" s="376">
        <v>0</v>
      </c>
      <c r="J41" s="376">
        <v>0</v>
      </c>
      <c r="K41" s="376">
        <v>78</v>
      </c>
      <c r="L41" s="377">
        <v>62</v>
      </c>
      <c r="M41" s="377">
        <v>2</v>
      </c>
      <c r="N41" s="377">
        <v>0</v>
      </c>
      <c r="O41" s="377">
        <v>14</v>
      </c>
      <c r="P41" s="377">
        <v>0</v>
      </c>
      <c r="Q41" s="378">
        <v>0</v>
      </c>
      <c r="R41" s="378">
        <v>0</v>
      </c>
      <c r="S41" s="378">
        <v>0</v>
      </c>
      <c r="T41" s="378">
        <v>0</v>
      </c>
      <c r="U41" s="378">
        <v>0</v>
      </c>
      <c r="V41" s="378">
        <v>0</v>
      </c>
      <c r="W41" s="378">
        <v>0</v>
      </c>
      <c r="X41" s="378">
        <v>0</v>
      </c>
      <c r="Y41" s="378">
        <v>2</v>
      </c>
      <c r="Z41" s="378">
        <v>1</v>
      </c>
      <c r="AA41" s="378">
        <v>2</v>
      </c>
      <c r="AB41" s="378">
        <v>11</v>
      </c>
      <c r="AC41" s="378">
        <v>6</v>
      </c>
      <c r="AD41" s="378">
        <v>6</v>
      </c>
      <c r="AE41" s="378">
        <v>15</v>
      </c>
      <c r="AF41" s="378">
        <v>14</v>
      </c>
      <c r="AG41" s="378">
        <v>15</v>
      </c>
      <c r="AH41" s="378">
        <v>6</v>
      </c>
      <c r="AI41" s="24">
        <f t="shared" si="2"/>
        <v>0</v>
      </c>
      <c r="AJ41" s="24">
        <f t="shared" si="3"/>
        <v>0</v>
      </c>
      <c r="AK41" s="24">
        <f t="shared" si="4"/>
        <v>5</v>
      </c>
      <c r="AL41" s="24">
        <f t="shared" si="5"/>
        <v>38</v>
      </c>
      <c r="AM41" s="24">
        <f t="shared" si="6"/>
        <v>35</v>
      </c>
      <c r="AN41" s="379">
        <v>0</v>
      </c>
      <c r="AO41" s="379">
        <v>0</v>
      </c>
      <c r="AP41" s="379">
        <v>0</v>
      </c>
      <c r="AQ41" s="379">
        <v>0</v>
      </c>
      <c r="AR41" s="379">
        <v>0</v>
      </c>
      <c r="AS41" s="379">
        <v>0</v>
      </c>
      <c r="AT41" s="379">
        <v>0</v>
      </c>
      <c r="AU41" s="379">
        <v>0</v>
      </c>
      <c r="AV41" s="379">
        <v>0</v>
      </c>
      <c r="AW41" s="379">
        <v>1</v>
      </c>
      <c r="AX41" s="379">
        <v>2</v>
      </c>
      <c r="AY41" s="379">
        <v>4</v>
      </c>
      <c r="AZ41" s="379">
        <v>2</v>
      </c>
      <c r="BA41" s="379">
        <v>6</v>
      </c>
      <c r="BB41" s="379">
        <v>10</v>
      </c>
      <c r="BC41" s="379">
        <v>7</v>
      </c>
      <c r="BD41" s="379">
        <v>7</v>
      </c>
      <c r="BE41" s="379">
        <v>7</v>
      </c>
      <c r="BF41" s="93">
        <f t="shared" si="14"/>
        <v>0</v>
      </c>
      <c r="BG41" s="93">
        <f t="shared" si="15"/>
        <v>0</v>
      </c>
      <c r="BH41" s="93">
        <f t="shared" si="16"/>
        <v>3</v>
      </c>
      <c r="BI41" s="93">
        <f t="shared" si="17"/>
        <v>22</v>
      </c>
      <c r="BJ41" s="93">
        <f t="shared" si="18"/>
        <v>21</v>
      </c>
      <c r="BK41" s="380">
        <v>239</v>
      </c>
      <c r="BL41" s="380">
        <v>107</v>
      </c>
      <c r="BM41" s="380">
        <v>36</v>
      </c>
      <c r="BN41" s="380">
        <v>279</v>
      </c>
      <c r="BO41" s="96">
        <v>0.68634002999999999</v>
      </c>
      <c r="BP41" s="96">
        <v>0.35408092000000002</v>
      </c>
      <c r="BQ41" s="5">
        <f t="shared" si="7"/>
        <v>88</v>
      </c>
      <c r="BR41" s="5">
        <f t="shared" si="8"/>
        <v>61</v>
      </c>
      <c r="BS41" s="309">
        <v>0</v>
      </c>
      <c r="BT41" s="381">
        <v>0</v>
      </c>
      <c r="BU41" s="381">
        <v>0</v>
      </c>
      <c r="BV41" s="381">
        <v>0</v>
      </c>
      <c r="BW41" s="381">
        <v>0</v>
      </c>
      <c r="BX41" s="381">
        <v>88</v>
      </c>
      <c r="BY41" s="382">
        <v>69</v>
      </c>
      <c r="BZ41" s="382">
        <v>3</v>
      </c>
      <c r="CA41" s="382">
        <v>0</v>
      </c>
      <c r="CB41" s="382">
        <v>16</v>
      </c>
      <c r="CC41" s="382">
        <v>0</v>
      </c>
      <c r="CD41" s="383">
        <v>0</v>
      </c>
      <c r="CE41" s="383">
        <v>0</v>
      </c>
      <c r="CF41" s="383">
        <v>0</v>
      </c>
      <c r="CG41" s="383">
        <v>0</v>
      </c>
      <c r="CH41" s="383">
        <v>0</v>
      </c>
      <c r="CI41" s="383">
        <v>0</v>
      </c>
      <c r="CJ41" s="383">
        <v>0</v>
      </c>
      <c r="CK41" s="383">
        <v>1</v>
      </c>
      <c r="CL41" s="383">
        <v>2</v>
      </c>
      <c r="CM41" s="383">
        <v>0</v>
      </c>
      <c r="CN41" s="383">
        <v>6</v>
      </c>
      <c r="CO41" s="383">
        <v>6</v>
      </c>
      <c r="CP41" s="383">
        <v>10</v>
      </c>
      <c r="CQ41" s="383">
        <v>10</v>
      </c>
      <c r="CR41" s="383">
        <v>20</v>
      </c>
      <c r="CS41" s="383">
        <v>16</v>
      </c>
      <c r="CT41" s="383">
        <v>11</v>
      </c>
      <c r="CU41" s="383">
        <v>6</v>
      </c>
      <c r="CV41" s="25">
        <f t="shared" si="9"/>
        <v>0</v>
      </c>
      <c r="CW41" s="25">
        <f t="shared" si="10"/>
        <v>0</v>
      </c>
      <c r="CX41" s="25">
        <f t="shared" si="11"/>
        <v>9</v>
      </c>
      <c r="CY41" s="25">
        <f t="shared" si="12"/>
        <v>46</v>
      </c>
      <c r="CZ41" s="25">
        <f t="shared" si="13"/>
        <v>33</v>
      </c>
      <c r="DA41" s="384">
        <v>0</v>
      </c>
      <c r="DB41" s="384">
        <v>0</v>
      </c>
      <c r="DC41" s="384">
        <v>0</v>
      </c>
      <c r="DD41" s="384">
        <v>0</v>
      </c>
      <c r="DE41" s="384">
        <v>0</v>
      </c>
      <c r="DF41" s="384">
        <v>0</v>
      </c>
      <c r="DG41" s="384">
        <v>0</v>
      </c>
      <c r="DH41" s="384">
        <v>0</v>
      </c>
      <c r="DI41" s="384">
        <v>0</v>
      </c>
      <c r="DJ41" s="384">
        <v>0</v>
      </c>
      <c r="DK41" s="384">
        <v>0</v>
      </c>
      <c r="DL41" s="384">
        <v>5</v>
      </c>
      <c r="DM41" s="384">
        <v>6</v>
      </c>
      <c r="DN41" s="384">
        <v>5</v>
      </c>
      <c r="DO41" s="384">
        <v>18</v>
      </c>
      <c r="DP41" s="384">
        <v>14</v>
      </c>
      <c r="DQ41" s="384">
        <v>10</v>
      </c>
      <c r="DR41" s="384">
        <v>3</v>
      </c>
      <c r="DS41" s="94">
        <f t="shared" si="19"/>
        <v>0</v>
      </c>
      <c r="DT41" s="94">
        <f t="shared" si="20"/>
        <v>0</v>
      </c>
      <c r="DU41" s="94">
        <f t="shared" si="21"/>
        <v>0</v>
      </c>
      <c r="DV41" s="94">
        <f t="shared" si="22"/>
        <v>34</v>
      </c>
      <c r="DW41" s="94">
        <f t="shared" si="23"/>
        <v>27</v>
      </c>
      <c r="DX41" s="385">
        <v>319</v>
      </c>
      <c r="DY41" s="385">
        <v>162</v>
      </c>
      <c r="DZ41" s="385">
        <v>75</v>
      </c>
      <c r="EA41" s="385">
        <v>369</v>
      </c>
      <c r="EB41" s="96">
        <v>0.67750537</v>
      </c>
      <c r="EC41" s="96">
        <v>0.22238521</v>
      </c>
    </row>
    <row r="42" spans="1:133" ht="12.95" customHeight="1">
      <c r="A42" s="12">
        <v>39</v>
      </c>
      <c r="B42" s="3" t="s">
        <v>109</v>
      </c>
      <c r="C42" s="3" t="s">
        <v>110</v>
      </c>
      <c r="D42" s="4">
        <f t="shared" si="0"/>
        <v>249</v>
      </c>
      <c r="E42" s="4">
        <f t="shared" si="1"/>
        <v>134</v>
      </c>
      <c r="F42" s="312">
        <v>0</v>
      </c>
      <c r="G42" s="376">
        <v>0</v>
      </c>
      <c r="H42" s="376">
        <v>0</v>
      </c>
      <c r="I42" s="376">
        <v>0</v>
      </c>
      <c r="J42" s="376">
        <v>0</v>
      </c>
      <c r="K42" s="376">
        <v>249</v>
      </c>
      <c r="L42" s="377">
        <v>201</v>
      </c>
      <c r="M42" s="377">
        <v>3</v>
      </c>
      <c r="N42" s="377">
        <v>0</v>
      </c>
      <c r="O42" s="377">
        <v>45</v>
      </c>
      <c r="P42" s="377">
        <v>1</v>
      </c>
      <c r="Q42" s="378">
        <v>8</v>
      </c>
      <c r="R42" s="378">
        <v>3</v>
      </c>
      <c r="S42" s="378">
        <v>2</v>
      </c>
      <c r="T42" s="378">
        <v>2</v>
      </c>
      <c r="U42" s="378">
        <v>2</v>
      </c>
      <c r="V42" s="378">
        <v>8</v>
      </c>
      <c r="W42" s="378">
        <v>3</v>
      </c>
      <c r="X42" s="378">
        <v>2</v>
      </c>
      <c r="Y42" s="378">
        <v>7</v>
      </c>
      <c r="Z42" s="378">
        <v>7</v>
      </c>
      <c r="AA42" s="378">
        <v>18</v>
      </c>
      <c r="AB42" s="378">
        <v>24</v>
      </c>
      <c r="AC42" s="378">
        <v>23</v>
      </c>
      <c r="AD42" s="378">
        <v>35</v>
      </c>
      <c r="AE42" s="378">
        <v>36</v>
      </c>
      <c r="AF42" s="378">
        <v>29</v>
      </c>
      <c r="AG42" s="378">
        <v>23</v>
      </c>
      <c r="AH42" s="378">
        <v>17</v>
      </c>
      <c r="AI42" s="24">
        <f t="shared" si="2"/>
        <v>13</v>
      </c>
      <c r="AJ42" s="24">
        <f t="shared" si="3"/>
        <v>12</v>
      </c>
      <c r="AK42" s="24">
        <f t="shared" si="4"/>
        <v>37</v>
      </c>
      <c r="AL42" s="24">
        <f t="shared" si="5"/>
        <v>118</v>
      </c>
      <c r="AM42" s="24">
        <f t="shared" si="6"/>
        <v>69</v>
      </c>
      <c r="AN42" s="379">
        <v>2</v>
      </c>
      <c r="AO42" s="379">
        <v>0</v>
      </c>
      <c r="AP42" s="379">
        <v>0</v>
      </c>
      <c r="AQ42" s="379">
        <v>0</v>
      </c>
      <c r="AR42" s="379">
        <v>0</v>
      </c>
      <c r="AS42" s="379">
        <v>0</v>
      </c>
      <c r="AT42" s="379">
        <v>1</v>
      </c>
      <c r="AU42" s="379">
        <v>2</v>
      </c>
      <c r="AV42" s="379">
        <v>1</v>
      </c>
      <c r="AW42" s="379">
        <v>0</v>
      </c>
      <c r="AX42" s="379">
        <v>6</v>
      </c>
      <c r="AY42" s="379">
        <v>10</v>
      </c>
      <c r="AZ42" s="379">
        <v>13</v>
      </c>
      <c r="BA42" s="379">
        <v>12</v>
      </c>
      <c r="BB42" s="379">
        <v>22</v>
      </c>
      <c r="BC42" s="379">
        <v>26</v>
      </c>
      <c r="BD42" s="379">
        <v>22</v>
      </c>
      <c r="BE42" s="379">
        <v>17</v>
      </c>
      <c r="BF42" s="93">
        <f t="shared" si="14"/>
        <v>2</v>
      </c>
      <c r="BG42" s="93">
        <f t="shared" si="15"/>
        <v>0</v>
      </c>
      <c r="BH42" s="93">
        <f t="shared" si="16"/>
        <v>10</v>
      </c>
      <c r="BI42" s="93">
        <f t="shared" si="17"/>
        <v>57</v>
      </c>
      <c r="BJ42" s="93">
        <f t="shared" si="18"/>
        <v>65</v>
      </c>
      <c r="BK42" s="380">
        <v>1092</v>
      </c>
      <c r="BL42" s="380">
        <v>701</v>
      </c>
      <c r="BM42" s="380">
        <v>416</v>
      </c>
      <c r="BN42" s="380">
        <v>1228</v>
      </c>
      <c r="BO42" s="96">
        <v>0.68283104999999999</v>
      </c>
      <c r="BP42" s="96">
        <v>0.44435611000000003</v>
      </c>
      <c r="BQ42" s="5">
        <f t="shared" si="7"/>
        <v>197</v>
      </c>
      <c r="BR42" s="5">
        <f t="shared" si="8"/>
        <v>114</v>
      </c>
      <c r="BS42" s="309">
        <v>0</v>
      </c>
      <c r="BT42" s="381">
        <v>0</v>
      </c>
      <c r="BU42" s="381">
        <v>0</v>
      </c>
      <c r="BV42" s="381">
        <v>0</v>
      </c>
      <c r="BW42" s="381">
        <v>0</v>
      </c>
      <c r="BX42" s="381">
        <v>197</v>
      </c>
      <c r="BY42" s="382">
        <v>149</v>
      </c>
      <c r="BZ42" s="382">
        <v>1</v>
      </c>
      <c r="CA42" s="382">
        <v>2</v>
      </c>
      <c r="CB42" s="382">
        <v>43</v>
      </c>
      <c r="CC42" s="382">
        <v>2</v>
      </c>
      <c r="CD42" s="383">
        <v>3</v>
      </c>
      <c r="CE42" s="383">
        <v>2</v>
      </c>
      <c r="CF42" s="383">
        <v>2</v>
      </c>
      <c r="CG42" s="383">
        <v>0</v>
      </c>
      <c r="CH42" s="383">
        <v>0</v>
      </c>
      <c r="CI42" s="383">
        <v>4</v>
      </c>
      <c r="CJ42" s="383">
        <v>2</v>
      </c>
      <c r="CK42" s="383">
        <v>1</v>
      </c>
      <c r="CL42" s="383">
        <v>6</v>
      </c>
      <c r="CM42" s="383">
        <v>3</v>
      </c>
      <c r="CN42" s="383">
        <v>11</v>
      </c>
      <c r="CO42" s="383">
        <v>19</v>
      </c>
      <c r="CP42" s="383">
        <v>15</v>
      </c>
      <c r="CQ42" s="383">
        <v>26</v>
      </c>
      <c r="CR42" s="383">
        <v>27</v>
      </c>
      <c r="CS42" s="383">
        <v>30</v>
      </c>
      <c r="CT42" s="383">
        <v>28</v>
      </c>
      <c r="CU42" s="383">
        <v>18</v>
      </c>
      <c r="CV42" s="25">
        <f t="shared" si="9"/>
        <v>7</v>
      </c>
      <c r="CW42" s="25">
        <f t="shared" si="10"/>
        <v>4</v>
      </c>
      <c r="CX42" s="25">
        <f t="shared" si="11"/>
        <v>23</v>
      </c>
      <c r="CY42" s="25">
        <f t="shared" si="12"/>
        <v>87</v>
      </c>
      <c r="CZ42" s="25">
        <f t="shared" si="13"/>
        <v>76</v>
      </c>
      <c r="DA42" s="384">
        <v>1</v>
      </c>
      <c r="DB42" s="384">
        <v>0</v>
      </c>
      <c r="DC42" s="384">
        <v>0</v>
      </c>
      <c r="DD42" s="384">
        <v>1</v>
      </c>
      <c r="DE42" s="384">
        <v>0</v>
      </c>
      <c r="DF42" s="384">
        <v>0</v>
      </c>
      <c r="DG42" s="384">
        <v>0</v>
      </c>
      <c r="DH42" s="384">
        <v>0</v>
      </c>
      <c r="DI42" s="384">
        <v>3</v>
      </c>
      <c r="DJ42" s="384">
        <v>2</v>
      </c>
      <c r="DK42" s="384">
        <v>8</v>
      </c>
      <c r="DL42" s="384">
        <v>8</v>
      </c>
      <c r="DM42" s="384">
        <v>11</v>
      </c>
      <c r="DN42" s="384">
        <v>10</v>
      </c>
      <c r="DO42" s="384">
        <v>13</v>
      </c>
      <c r="DP42" s="384">
        <v>22</v>
      </c>
      <c r="DQ42" s="384">
        <v>22</v>
      </c>
      <c r="DR42" s="384">
        <v>13</v>
      </c>
      <c r="DS42" s="94">
        <f t="shared" si="19"/>
        <v>1</v>
      </c>
      <c r="DT42" s="94">
        <f t="shared" si="20"/>
        <v>1</v>
      </c>
      <c r="DU42" s="94">
        <f t="shared" si="21"/>
        <v>13</v>
      </c>
      <c r="DV42" s="94">
        <f t="shared" si="22"/>
        <v>42</v>
      </c>
      <c r="DW42" s="94">
        <f t="shared" si="23"/>
        <v>57</v>
      </c>
      <c r="DX42" s="385">
        <v>1157</v>
      </c>
      <c r="DY42" s="385">
        <v>732</v>
      </c>
      <c r="DZ42" s="385">
        <v>391</v>
      </c>
      <c r="EA42" s="385">
        <v>1263</v>
      </c>
      <c r="EB42" s="96">
        <v>0.68689840999999996</v>
      </c>
      <c r="EC42" s="96">
        <v>0.44574687000000002</v>
      </c>
    </row>
    <row r="43" spans="1:133" ht="12.95" customHeight="1">
      <c r="A43" s="2">
        <v>40</v>
      </c>
      <c r="B43" s="3" t="s">
        <v>111</v>
      </c>
      <c r="C43" s="3" t="s">
        <v>112</v>
      </c>
      <c r="D43" s="4">
        <f t="shared" si="0"/>
        <v>5</v>
      </c>
      <c r="E43" s="4">
        <f t="shared" si="1"/>
        <v>3</v>
      </c>
      <c r="F43" s="312">
        <v>0</v>
      </c>
      <c r="G43" s="376">
        <v>0</v>
      </c>
      <c r="H43" s="376">
        <v>0</v>
      </c>
      <c r="I43" s="376">
        <v>0</v>
      </c>
      <c r="J43" s="376">
        <v>0</v>
      </c>
      <c r="K43" s="376">
        <v>5</v>
      </c>
      <c r="L43" s="377">
        <v>4</v>
      </c>
      <c r="M43" s="377">
        <v>0</v>
      </c>
      <c r="N43" s="377">
        <v>0</v>
      </c>
      <c r="O43" s="377">
        <v>1</v>
      </c>
      <c r="P43" s="377">
        <v>0</v>
      </c>
      <c r="Q43" s="378">
        <v>0</v>
      </c>
      <c r="R43" s="378">
        <v>0</v>
      </c>
      <c r="S43" s="378">
        <v>0</v>
      </c>
      <c r="T43" s="378">
        <v>0</v>
      </c>
      <c r="U43" s="378">
        <v>1</v>
      </c>
      <c r="V43" s="378">
        <v>0</v>
      </c>
      <c r="W43" s="378">
        <v>0</v>
      </c>
      <c r="X43" s="378">
        <v>0</v>
      </c>
      <c r="Y43" s="378">
        <v>0</v>
      </c>
      <c r="Z43" s="378">
        <v>1</v>
      </c>
      <c r="AA43" s="378">
        <v>0</v>
      </c>
      <c r="AB43" s="378">
        <v>0</v>
      </c>
      <c r="AC43" s="378">
        <v>0</v>
      </c>
      <c r="AD43" s="378">
        <v>1</v>
      </c>
      <c r="AE43" s="378">
        <v>1</v>
      </c>
      <c r="AF43" s="378">
        <v>1</v>
      </c>
      <c r="AG43" s="378">
        <v>0</v>
      </c>
      <c r="AH43" s="378">
        <v>0</v>
      </c>
      <c r="AI43" s="24">
        <f t="shared" si="2"/>
        <v>0</v>
      </c>
      <c r="AJ43" s="24">
        <f t="shared" si="3"/>
        <v>1</v>
      </c>
      <c r="AK43" s="24">
        <f t="shared" si="4"/>
        <v>1</v>
      </c>
      <c r="AL43" s="24">
        <f t="shared" si="5"/>
        <v>2</v>
      </c>
      <c r="AM43" s="24">
        <f t="shared" si="6"/>
        <v>1</v>
      </c>
      <c r="AN43" s="379">
        <v>0</v>
      </c>
      <c r="AO43" s="379">
        <v>0</v>
      </c>
      <c r="AP43" s="379">
        <v>0</v>
      </c>
      <c r="AQ43" s="379">
        <v>0</v>
      </c>
      <c r="AR43" s="379">
        <v>0</v>
      </c>
      <c r="AS43" s="379">
        <v>0</v>
      </c>
      <c r="AT43" s="379">
        <v>0</v>
      </c>
      <c r="AU43" s="379">
        <v>0</v>
      </c>
      <c r="AV43" s="379">
        <v>0</v>
      </c>
      <c r="AW43" s="379">
        <v>0</v>
      </c>
      <c r="AX43" s="379">
        <v>0</v>
      </c>
      <c r="AY43" s="379">
        <v>0</v>
      </c>
      <c r="AZ43" s="379">
        <v>0</v>
      </c>
      <c r="BA43" s="379">
        <v>1</v>
      </c>
      <c r="BB43" s="379">
        <v>0</v>
      </c>
      <c r="BC43" s="379">
        <v>1</v>
      </c>
      <c r="BD43" s="379">
        <v>0</v>
      </c>
      <c r="BE43" s="379">
        <v>1</v>
      </c>
      <c r="BF43" s="93">
        <f t="shared" si="14"/>
        <v>0</v>
      </c>
      <c r="BG43" s="93">
        <f t="shared" si="15"/>
        <v>0</v>
      </c>
      <c r="BH43" s="93">
        <f t="shared" si="16"/>
        <v>0</v>
      </c>
      <c r="BI43" s="93">
        <f t="shared" si="17"/>
        <v>1</v>
      </c>
      <c r="BJ43" s="93">
        <f t="shared" si="18"/>
        <v>2</v>
      </c>
      <c r="BK43" s="380">
        <v>24</v>
      </c>
      <c r="BL43" s="380">
        <v>13</v>
      </c>
      <c r="BM43" s="380">
        <v>8</v>
      </c>
      <c r="BN43" s="380">
        <v>28</v>
      </c>
      <c r="BO43" s="96">
        <v>0.53607804000000003</v>
      </c>
      <c r="BP43" s="314" t="s">
        <v>445</v>
      </c>
      <c r="BQ43" s="5">
        <f t="shared" si="7"/>
        <v>6</v>
      </c>
      <c r="BR43" s="5">
        <f t="shared" si="8"/>
        <v>1</v>
      </c>
      <c r="BS43" s="309">
        <v>0</v>
      </c>
      <c r="BT43" s="381">
        <v>0</v>
      </c>
      <c r="BU43" s="381">
        <v>0</v>
      </c>
      <c r="BV43" s="381">
        <v>0</v>
      </c>
      <c r="BW43" s="381">
        <v>0</v>
      </c>
      <c r="BX43" s="381">
        <v>6</v>
      </c>
      <c r="BY43" s="382">
        <v>6</v>
      </c>
      <c r="BZ43" s="382">
        <v>0</v>
      </c>
      <c r="CA43" s="382">
        <v>0</v>
      </c>
      <c r="CB43" s="382">
        <v>0</v>
      </c>
      <c r="CC43" s="382">
        <v>0</v>
      </c>
      <c r="CD43" s="383">
        <v>0</v>
      </c>
      <c r="CE43" s="383">
        <v>0</v>
      </c>
      <c r="CF43" s="383">
        <v>0</v>
      </c>
      <c r="CG43" s="383">
        <v>0</v>
      </c>
      <c r="CH43" s="383">
        <v>0</v>
      </c>
      <c r="CI43" s="383">
        <v>0</v>
      </c>
      <c r="CJ43" s="383">
        <v>0</v>
      </c>
      <c r="CK43" s="383">
        <v>1</v>
      </c>
      <c r="CL43" s="383">
        <v>0</v>
      </c>
      <c r="CM43" s="383">
        <v>0</v>
      </c>
      <c r="CN43" s="383">
        <v>1</v>
      </c>
      <c r="CO43" s="383">
        <v>0</v>
      </c>
      <c r="CP43" s="383">
        <v>0</v>
      </c>
      <c r="CQ43" s="383">
        <v>0</v>
      </c>
      <c r="CR43" s="383">
        <v>3</v>
      </c>
      <c r="CS43" s="383">
        <v>0</v>
      </c>
      <c r="CT43" s="383">
        <v>1</v>
      </c>
      <c r="CU43" s="383">
        <v>0</v>
      </c>
      <c r="CV43" s="25">
        <f t="shared" si="9"/>
        <v>0</v>
      </c>
      <c r="CW43" s="25">
        <f t="shared" si="10"/>
        <v>0</v>
      </c>
      <c r="CX43" s="25">
        <f t="shared" si="11"/>
        <v>2</v>
      </c>
      <c r="CY43" s="25">
        <f t="shared" si="12"/>
        <v>3</v>
      </c>
      <c r="CZ43" s="25">
        <f t="shared" si="13"/>
        <v>1</v>
      </c>
      <c r="DA43" s="384">
        <v>0</v>
      </c>
      <c r="DB43" s="384">
        <v>0</v>
      </c>
      <c r="DC43" s="384">
        <v>0</v>
      </c>
      <c r="DD43" s="384">
        <v>0</v>
      </c>
      <c r="DE43" s="384">
        <v>0</v>
      </c>
      <c r="DF43" s="384">
        <v>0</v>
      </c>
      <c r="DG43" s="384">
        <v>0</v>
      </c>
      <c r="DH43" s="384">
        <v>0</v>
      </c>
      <c r="DI43" s="384">
        <v>0</v>
      </c>
      <c r="DJ43" s="384">
        <v>0</v>
      </c>
      <c r="DK43" s="384">
        <v>1</v>
      </c>
      <c r="DL43" s="384">
        <v>0</v>
      </c>
      <c r="DM43" s="384">
        <v>0</v>
      </c>
      <c r="DN43" s="384">
        <v>0</v>
      </c>
      <c r="DO43" s="384">
        <v>0</v>
      </c>
      <c r="DP43" s="384">
        <v>0</v>
      </c>
      <c r="DQ43" s="384">
        <v>0</v>
      </c>
      <c r="DR43" s="384">
        <v>0</v>
      </c>
      <c r="DS43" s="94">
        <f t="shared" si="19"/>
        <v>0</v>
      </c>
      <c r="DT43" s="94">
        <f t="shared" si="20"/>
        <v>0</v>
      </c>
      <c r="DU43" s="94">
        <f t="shared" si="21"/>
        <v>1</v>
      </c>
      <c r="DV43" s="94">
        <f t="shared" si="22"/>
        <v>0</v>
      </c>
      <c r="DW43" s="94">
        <f t="shared" si="23"/>
        <v>0</v>
      </c>
      <c r="DX43" s="385">
        <v>38</v>
      </c>
      <c r="DY43" s="385">
        <v>23</v>
      </c>
      <c r="DZ43" s="385">
        <v>17</v>
      </c>
      <c r="EA43" s="385">
        <v>42</v>
      </c>
      <c r="EB43" s="96">
        <v>1</v>
      </c>
      <c r="EC43" s="96">
        <v>1</v>
      </c>
    </row>
    <row r="44" spans="1:133" ht="12.95" customHeight="1">
      <c r="A44" s="12">
        <v>41</v>
      </c>
      <c r="B44" s="3" t="s">
        <v>113</v>
      </c>
      <c r="C44" s="3" t="s">
        <v>114</v>
      </c>
      <c r="D44" s="4">
        <f t="shared" si="0"/>
        <v>13</v>
      </c>
      <c r="E44" s="4">
        <f t="shared" si="1"/>
        <v>0</v>
      </c>
      <c r="F44" s="312">
        <v>0</v>
      </c>
      <c r="G44" s="376">
        <v>0</v>
      </c>
      <c r="H44" s="376">
        <v>0</v>
      </c>
      <c r="I44" s="376">
        <v>0</v>
      </c>
      <c r="J44" s="376">
        <v>0</v>
      </c>
      <c r="K44" s="376">
        <v>13</v>
      </c>
      <c r="L44" s="377">
        <v>13</v>
      </c>
      <c r="M44" s="377">
        <v>0</v>
      </c>
      <c r="N44" s="377">
        <v>0</v>
      </c>
      <c r="O44" s="377">
        <v>0</v>
      </c>
      <c r="P44" s="377">
        <v>0</v>
      </c>
      <c r="Q44" s="378">
        <v>0</v>
      </c>
      <c r="R44" s="378">
        <v>0</v>
      </c>
      <c r="S44" s="378">
        <v>0</v>
      </c>
      <c r="T44" s="378">
        <v>0</v>
      </c>
      <c r="U44" s="378">
        <v>0</v>
      </c>
      <c r="V44" s="378">
        <v>0</v>
      </c>
      <c r="W44" s="378">
        <v>0</v>
      </c>
      <c r="X44" s="378">
        <v>1</v>
      </c>
      <c r="Y44" s="378">
        <v>1</v>
      </c>
      <c r="Z44" s="378">
        <v>3</v>
      </c>
      <c r="AA44" s="378">
        <v>2</v>
      </c>
      <c r="AB44" s="378">
        <v>1</v>
      </c>
      <c r="AC44" s="378">
        <v>1</v>
      </c>
      <c r="AD44" s="378">
        <v>1</v>
      </c>
      <c r="AE44" s="378">
        <v>1</v>
      </c>
      <c r="AF44" s="378">
        <v>0</v>
      </c>
      <c r="AG44" s="378">
        <v>1</v>
      </c>
      <c r="AH44" s="378">
        <v>1</v>
      </c>
      <c r="AI44" s="24">
        <f t="shared" si="2"/>
        <v>0</v>
      </c>
      <c r="AJ44" s="24">
        <f t="shared" si="3"/>
        <v>0</v>
      </c>
      <c r="AK44" s="24">
        <f t="shared" si="4"/>
        <v>7</v>
      </c>
      <c r="AL44" s="24">
        <f t="shared" si="5"/>
        <v>4</v>
      </c>
      <c r="AM44" s="24">
        <f t="shared" si="6"/>
        <v>2</v>
      </c>
      <c r="AN44" s="379">
        <v>0</v>
      </c>
      <c r="AO44" s="379">
        <v>0</v>
      </c>
      <c r="AP44" s="379">
        <v>0</v>
      </c>
      <c r="AQ44" s="379">
        <v>0</v>
      </c>
      <c r="AR44" s="379">
        <v>0</v>
      </c>
      <c r="AS44" s="379">
        <v>0</v>
      </c>
      <c r="AT44" s="379">
        <v>0</v>
      </c>
      <c r="AU44" s="379">
        <v>0</v>
      </c>
      <c r="AV44" s="379">
        <v>0</v>
      </c>
      <c r="AW44" s="379">
        <v>0</v>
      </c>
      <c r="AX44" s="379">
        <v>0</v>
      </c>
      <c r="AY44" s="379">
        <v>0</v>
      </c>
      <c r="AZ44" s="379">
        <v>0</v>
      </c>
      <c r="BA44" s="379">
        <v>0</v>
      </c>
      <c r="BB44" s="379">
        <v>0</v>
      </c>
      <c r="BC44" s="379">
        <v>0</v>
      </c>
      <c r="BD44" s="379">
        <v>0</v>
      </c>
      <c r="BE44" s="379">
        <v>0</v>
      </c>
      <c r="BF44" s="93">
        <f t="shared" si="14"/>
        <v>0</v>
      </c>
      <c r="BG44" s="93">
        <f t="shared" si="15"/>
        <v>0</v>
      </c>
      <c r="BH44" s="93">
        <f t="shared" si="16"/>
        <v>0</v>
      </c>
      <c r="BI44" s="93">
        <f t="shared" si="17"/>
        <v>0</v>
      </c>
      <c r="BJ44" s="93">
        <f t="shared" si="18"/>
        <v>0</v>
      </c>
      <c r="BK44" s="380">
        <v>65</v>
      </c>
      <c r="BL44" s="380">
        <v>22</v>
      </c>
      <c r="BM44" s="380">
        <v>3</v>
      </c>
      <c r="BN44" s="380">
        <v>77</v>
      </c>
      <c r="BO44" s="96"/>
      <c r="BP44" s="96"/>
      <c r="BQ44" s="5">
        <f t="shared" si="7"/>
        <v>36</v>
      </c>
      <c r="BR44" s="5">
        <f t="shared" si="8"/>
        <v>0</v>
      </c>
      <c r="BS44" s="309">
        <v>0</v>
      </c>
      <c r="BT44" s="381">
        <v>0</v>
      </c>
      <c r="BU44" s="381">
        <v>0</v>
      </c>
      <c r="BV44" s="381">
        <v>0</v>
      </c>
      <c r="BW44" s="381">
        <v>0</v>
      </c>
      <c r="BX44" s="381">
        <v>36</v>
      </c>
      <c r="BY44" s="382">
        <v>36</v>
      </c>
      <c r="BZ44" s="382">
        <v>0</v>
      </c>
      <c r="CA44" s="382">
        <v>0</v>
      </c>
      <c r="CB44" s="382">
        <v>0</v>
      </c>
      <c r="CC44" s="382">
        <v>0</v>
      </c>
      <c r="CD44" s="383">
        <v>0</v>
      </c>
      <c r="CE44" s="383">
        <v>0</v>
      </c>
      <c r="CF44" s="383">
        <v>0</v>
      </c>
      <c r="CG44" s="383">
        <v>0</v>
      </c>
      <c r="CH44" s="383">
        <v>0</v>
      </c>
      <c r="CI44" s="383">
        <v>0</v>
      </c>
      <c r="CJ44" s="383">
        <v>2</v>
      </c>
      <c r="CK44" s="383">
        <v>1</v>
      </c>
      <c r="CL44" s="383">
        <v>2</v>
      </c>
      <c r="CM44" s="383">
        <v>2</v>
      </c>
      <c r="CN44" s="383">
        <v>2</v>
      </c>
      <c r="CO44" s="383">
        <v>6</v>
      </c>
      <c r="CP44" s="383">
        <v>3</v>
      </c>
      <c r="CQ44" s="383">
        <v>2</v>
      </c>
      <c r="CR44" s="383">
        <v>8</v>
      </c>
      <c r="CS44" s="383">
        <v>3</v>
      </c>
      <c r="CT44" s="383">
        <v>3</v>
      </c>
      <c r="CU44" s="383">
        <v>2</v>
      </c>
      <c r="CV44" s="25">
        <f t="shared" si="9"/>
        <v>0</v>
      </c>
      <c r="CW44" s="25">
        <f t="shared" si="10"/>
        <v>0</v>
      </c>
      <c r="CX44" s="25">
        <f t="shared" si="11"/>
        <v>9</v>
      </c>
      <c r="CY44" s="25">
        <f t="shared" si="12"/>
        <v>19</v>
      </c>
      <c r="CZ44" s="25">
        <f t="shared" si="13"/>
        <v>8</v>
      </c>
      <c r="DA44" s="384">
        <v>0</v>
      </c>
      <c r="DB44" s="384">
        <v>0</v>
      </c>
      <c r="DC44" s="384">
        <v>0</v>
      </c>
      <c r="DD44" s="384">
        <v>0</v>
      </c>
      <c r="DE44" s="384">
        <v>0</v>
      </c>
      <c r="DF44" s="384">
        <v>0</v>
      </c>
      <c r="DG44" s="384">
        <v>0</v>
      </c>
      <c r="DH44" s="384">
        <v>0</v>
      </c>
      <c r="DI44" s="384">
        <v>0</v>
      </c>
      <c r="DJ44" s="384">
        <v>0</v>
      </c>
      <c r="DK44" s="384">
        <v>0</v>
      </c>
      <c r="DL44" s="384">
        <v>0</v>
      </c>
      <c r="DM44" s="384">
        <v>0</v>
      </c>
      <c r="DN44" s="384">
        <v>0</v>
      </c>
      <c r="DO44" s="384">
        <v>0</v>
      </c>
      <c r="DP44" s="384">
        <v>0</v>
      </c>
      <c r="DQ44" s="384">
        <v>0</v>
      </c>
      <c r="DR44" s="384">
        <v>0</v>
      </c>
      <c r="DS44" s="94">
        <f t="shared" si="19"/>
        <v>0</v>
      </c>
      <c r="DT44" s="94">
        <f t="shared" si="20"/>
        <v>0</v>
      </c>
      <c r="DU44" s="94">
        <f t="shared" si="21"/>
        <v>0</v>
      </c>
      <c r="DV44" s="94">
        <f t="shared" si="22"/>
        <v>0</v>
      </c>
      <c r="DW44" s="94">
        <f t="shared" si="23"/>
        <v>0</v>
      </c>
      <c r="DX44" s="385">
        <v>189</v>
      </c>
      <c r="DY44" s="385">
        <v>100</v>
      </c>
      <c r="DZ44" s="385">
        <v>31</v>
      </c>
      <c r="EA44" s="385">
        <v>215</v>
      </c>
      <c r="EB44" s="96"/>
      <c r="EC44" s="96"/>
    </row>
    <row r="45" spans="1:133" ht="12.95" customHeight="1">
      <c r="A45" s="2">
        <v>42</v>
      </c>
      <c r="B45" s="3" t="s">
        <v>433</v>
      </c>
      <c r="C45" s="3" t="s">
        <v>115</v>
      </c>
      <c r="D45" s="4">
        <f t="shared" si="0"/>
        <v>0</v>
      </c>
      <c r="E45" s="4">
        <f t="shared" si="1"/>
        <v>0</v>
      </c>
      <c r="F45" s="312">
        <v>0</v>
      </c>
      <c r="G45" s="376">
        <v>0</v>
      </c>
      <c r="H45" s="376">
        <v>0</v>
      </c>
      <c r="I45" s="376">
        <v>0</v>
      </c>
      <c r="J45" s="376">
        <v>0</v>
      </c>
      <c r="K45" s="376">
        <v>0</v>
      </c>
      <c r="L45" s="377">
        <v>0</v>
      </c>
      <c r="M45" s="377">
        <v>0</v>
      </c>
      <c r="N45" s="377">
        <v>0</v>
      </c>
      <c r="O45" s="377">
        <v>0</v>
      </c>
      <c r="P45" s="377">
        <v>0</v>
      </c>
      <c r="Q45" s="378">
        <v>0</v>
      </c>
      <c r="R45" s="378">
        <v>0</v>
      </c>
      <c r="S45" s="378">
        <v>0</v>
      </c>
      <c r="T45" s="378">
        <v>0</v>
      </c>
      <c r="U45" s="378">
        <v>0</v>
      </c>
      <c r="V45" s="378">
        <v>0</v>
      </c>
      <c r="W45" s="378">
        <v>0</v>
      </c>
      <c r="X45" s="378">
        <v>0</v>
      </c>
      <c r="Y45" s="378">
        <v>0</v>
      </c>
      <c r="Z45" s="378">
        <v>0</v>
      </c>
      <c r="AA45" s="378">
        <v>0</v>
      </c>
      <c r="AB45" s="378">
        <v>0</v>
      </c>
      <c r="AC45" s="378">
        <v>0</v>
      </c>
      <c r="AD45" s="378">
        <v>0</v>
      </c>
      <c r="AE45" s="378">
        <v>0</v>
      </c>
      <c r="AF45" s="378">
        <v>0</v>
      </c>
      <c r="AG45" s="378">
        <v>0</v>
      </c>
      <c r="AH45" s="378">
        <v>0</v>
      </c>
      <c r="AI45" s="24">
        <f t="shared" si="2"/>
        <v>0</v>
      </c>
      <c r="AJ45" s="24">
        <f t="shared" si="3"/>
        <v>0</v>
      </c>
      <c r="AK45" s="24">
        <f t="shared" si="4"/>
        <v>0</v>
      </c>
      <c r="AL45" s="24">
        <f t="shared" si="5"/>
        <v>0</v>
      </c>
      <c r="AM45" s="24">
        <f t="shared" si="6"/>
        <v>0</v>
      </c>
      <c r="AN45" s="379">
        <v>0</v>
      </c>
      <c r="AO45" s="379">
        <v>0</v>
      </c>
      <c r="AP45" s="379">
        <v>0</v>
      </c>
      <c r="AQ45" s="379">
        <v>0</v>
      </c>
      <c r="AR45" s="379">
        <v>0</v>
      </c>
      <c r="AS45" s="379">
        <v>0</v>
      </c>
      <c r="AT45" s="379">
        <v>0</v>
      </c>
      <c r="AU45" s="379">
        <v>0</v>
      </c>
      <c r="AV45" s="379">
        <v>0</v>
      </c>
      <c r="AW45" s="379">
        <v>0</v>
      </c>
      <c r="AX45" s="379">
        <v>0</v>
      </c>
      <c r="AY45" s="379">
        <v>0</v>
      </c>
      <c r="AZ45" s="379">
        <v>0</v>
      </c>
      <c r="BA45" s="379">
        <v>0</v>
      </c>
      <c r="BB45" s="379">
        <v>0</v>
      </c>
      <c r="BC45" s="379">
        <v>0</v>
      </c>
      <c r="BD45" s="379">
        <v>0</v>
      </c>
      <c r="BE45" s="379">
        <v>0</v>
      </c>
      <c r="BF45" s="93">
        <f t="shared" si="14"/>
        <v>0</v>
      </c>
      <c r="BG45" s="93">
        <f t="shared" si="15"/>
        <v>0</v>
      </c>
      <c r="BH45" s="93">
        <f t="shared" si="16"/>
        <v>0</v>
      </c>
      <c r="BI45" s="93">
        <f t="shared" si="17"/>
        <v>0</v>
      </c>
      <c r="BJ45" s="93">
        <f t="shared" si="18"/>
        <v>0</v>
      </c>
      <c r="BK45" s="380">
        <v>4</v>
      </c>
      <c r="BL45" s="380">
        <v>3</v>
      </c>
      <c r="BM45" s="380">
        <v>2</v>
      </c>
      <c r="BN45" s="380">
        <v>4</v>
      </c>
      <c r="BO45" s="96"/>
      <c r="BP45" s="96"/>
      <c r="BQ45" s="5">
        <f t="shared" si="7"/>
        <v>89</v>
      </c>
      <c r="BR45" s="5">
        <f t="shared" si="8"/>
        <v>0</v>
      </c>
      <c r="BS45" s="309">
        <v>0</v>
      </c>
      <c r="BT45" s="381">
        <v>0</v>
      </c>
      <c r="BU45" s="381">
        <v>0</v>
      </c>
      <c r="BV45" s="381">
        <v>0</v>
      </c>
      <c r="BW45" s="381">
        <v>0</v>
      </c>
      <c r="BX45" s="381">
        <v>89</v>
      </c>
      <c r="BY45" s="382">
        <v>89</v>
      </c>
      <c r="BZ45" s="382">
        <v>0</v>
      </c>
      <c r="CA45" s="382">
        <v>0</v>
      </c>
      <c r="CB45" s="382">
        <v>0</v>
      </c>
      <c r="CC45" s="382">
        <v>0</v>
      </c>
      <c r="CD45" s="383">
        <v>0</v>
      </c>
      <c r="CE45" s="383">
        <v>0</v>
      </c>
      <c r="CF45" s="383">
        <v>0</v>
      </c>
      <c r="CG45" s="383">
        <v>0</v>
      </c>
      <c r="CH45" s="383">
        <v>0</v>
      </c>
      <c r="CI45" s="383">
        <v>1</v>
      </c>
      <c r="CJ45" s="383">
        <v>0</v>
      </c>
      <c r="CK45" s="383">
        <v>4</v>
      </c>
      <c r="CL45" s="383">
        <v>7</v>
      </c>
      <c r="CM45" s="383">
        <v>5</v>
      </c>
      <c r="CN45" s="383">
        <v>24</v>
      </c>
      <c r="CO45" s="383">
        <v>14</v>
      </c>
      <c r="CP45" s="383">
        <v>13</v>
      </c>
      <c r="CQ45" s="383">
        <v>9</v>
      </c>
      <c r="CR45" s="383">
        <v>8</v>
      </c>
      <c r="CS45" s="383">
        <v>3</v>
      </c>
      <c r="CT45" s="383">
        <v>1</v>
      </c>
      <c r="CU45" s="383">
        <v>0</v>
      </c>
      <c r="CV45" s="25">
        <f t="shared" si="9"/>
        <v>0</v>
      </c>
      <c r="CW45" s="25">
        <f t="shared" si="10"/>
        <v>1</v>
      </c>
      <c r="CX45" s="25">
        <f t="shared" si="11"/>
        <v>40</v>
      </c>
      <c r="CY45" s="25">
        <f t="shared" si="12"/>
        <v>44</v>
      </c>
      <c r="CZ45" s="25">
        <f t="shared" si="13"/>
        <v>4</v>
      </c>
      <c r="DA45" s="384">
        <v>0</v>
      </c>
      <c r="DB45" s="384">
        <v>0</v>
      </c>
      <c r="DC45" s="384">
        <v>0</v>
      </c>
      <c r="DD45" s="384">
        <v>0</v>
      </c>
      <c r="DE45" s="384">
        <v>0</v>
      </c>
      <c r="DF45" s="384">
        <v>0</v>
      </c>
      <c r="DG45" s="384">
        <v>0</v>
      </c>
      <c r="DH45" s="384">
        <v>0</v>
      </c>
      <c r="DI45" s="384">
        <v>0</v>
      </c>
      <c r="DJ45" s="384">
        <v>0</v>
      </c>
      <c r="DK45" s="384">
        <v>0</v>
      </c>
      <c r="DL45" s="384">
        <v>0</v>
      </c>
      <c r="DM45" s="384">
        <v>0</v>
      </c>
      <c r="DN45" s="384">
        <v>0</v>
      </c>
      <c r="DO45" s="384">
        <v>0</v>
      </c>
      <c r="DP45" s="384">
        <v>0</v>
      </c>
      <c r="DQ45" s="384">
        <v>0</v>
      </c>
      <c r="DR45" s="384">
        <v>0</v>
      </c>
      <c r="DS45" s="94">
        <f t="shared" si="19"/>
        <v>0</v>
      </c>
      <c r="DT45" s="94">
        <f t="shared" si="20"/>
        <v>0</v>
      </c>
      <c r="DU45" s="94">
        <f t="shared" si="21"/>
        <v>0</v>
      </c>
      <c r="DV45" s="94">
        <f t="shared" si="22"/>
        <v>0</v>
      </c>
      <c r="DW45" s="94">
        <f t="shared" si="23"/>
        <v>0</v>
      </c>
      <c r="DX45" s="385">
        <v>651</v>
      </c>
      <c r="DY45" s="385">
        <v>369</v>
      </c>
      <c r="DZ45" s="385">
        <v>125</v>
      </c>
      <c r="EA45" s="385">
        <v>724</v>
      </c>
      <c r="EB45" s="96"/>
      <c r="EC45" s="96"/>
    </row>
    <row r="46" spans="1:133" ht="12.95" customHeight="1">
      <c r="A46" s="12">
        <v>43</v>
      </c>
      <c r="B46" s="3" t="s">
        <v>434</v>
      </c>
      <c r="C46" s="3" t="s">
        <v>116</v>
      </c>
      <c r="D46" s="4">
        <f t="shared" si="0"/>
        <v>0</v>
      </c>
      <c r="E46" s="4">
        <f t="shared" si="1"/>
        <v>0</v>
      </c>
      <c r="F46" s="312">
        <v>0</v>
      </c>
      <c r="G46" s="376">
        <v>0</v>
      </c>
      <c r="H46" s="376">
        <v>0</v>
      </c>
      <c r="I46" s="376">
        <v>0</v>
      </c>
      <c r="J46" s="376">
        <v>0</v>
      </c>
      <c r="K46" s="376">
        <v>0</v>
      </c>
      <c r="L46" s="377">
        <v>0</v>
      </c>
      <c r="M46" s="377">
        <v>0</v>
      </c>
      <c r="N46" s="377">
        <v>0</v>
      </c>
      <c r="O46" s="377">
        <v>0</v>
      </c>
      <c r="P46" s="377">
        <v>0</v>
      </c>
      <c r="Q46" s="378">
        <v>0</v>
      </c>
      <c r="R46" s="378">
        <v>0</v>
      </c>
      <c r="S46" s="378">
        <v>0</v>
      </c>
      <c r="T46" s="378">
        <v>0</v>
      </c>
      <c r="U46" s="378">
        <v>0</v>
      </c>
      <c r="V46" s="378">
        <v>0</v>
      </c>
      <c r="W46" s="378">
        <v>0</v>
      </c>
      <c r="X46" s="378">
        <v>0</v>
      </c>
      <c r="Y46" s="378">
        <v>0</v>
      </c>
      <c r="Z46" s="378">
        <v>0</v>
      </c>
      <c r="AA46" s="378">
        <v>0</v>
      </c>
      <c r="AB46" s="378">
        <v>0</v>
      </c>
      <c r="AC46" s="378">
        <v>0</v>
      </c>
      <c r="AD46" s="378">
        <v>0</v>
      </c>
      <c r="AE46" s="378">
        <v>0</v>
      </c>
      <c r="AF46" s="378">
        <v>0</v>
      </c>
      <c r="AG46" s="378">
        <v>0</v>
      </c>
      <c r="AH46" s="378">
        <v>0</v>
      </c>
      <c r="AI46" s="24">
        <f t="shared" si="2"/>
        <v>0</v>
      </c>
      <c r="AJ46" s="24">
        <f t="shared" si="3"/>
        <v>0</v>
      </c>
      <c r="AK46" s="24">
        <f t="shared" si="4"/>
        <v>0</v>
      </c>
      <c r="AL46" s="24">
        <f t="shared" si="5"/>
        <v>0</v>
      </c>
      <c r="AM46" s="24">
        <f t="shared" si="6"/>
        <v>0</v>
      </c>
      <c r="AN46" s="379">
        <v>0</v>
      </c>
      <c r="AO46" s="379">
        <v>0</v>
      </c>
      <c r="AP46" s="379">
        <v>0</v>
      </c>
      <c r="AQ46" s="379">
        <v>0</v>
      </c>
      <c r="AR46" s="379">
        <v>0</v>
      </c>
      <c r="AS46" s="379">
        <v>0</v>
      </c>
      <c r="AT46" s="379">
        <v>0</v>
      </c>
      <c r="AU46" s="379">
        <v>0</v>
      </c>
      <c r="AV46" s="379">
        <v>0</v>
      </c>
      <c r="AW46" s="379">
        <v>0</v>
      </c>
      <c r="AX46" s="379">
        <v>0</v>
      </c>
      <c r="AY46" s="379">
        <v>0</v>
      </c>
      <c r="AZ46" s="379">
        <v>0</v>
      </c>
      <c r="BA46" s="379">
        <v>0</v>
      </c>
      <c r="BB46" s="379">
        <v>0</v>
      </c>
      <c r="BC46" s="379">
        <v>0</v>
      </c>
      <c r="BD46" s="379">
        <v>0</v>
      </c>
      <c r="BE46" s="379">
        <v>0</v>
      </c>
      <c r="BF46" s="93">
        <f t="shared" si="14"/>
        <v>0</v>
      </c>
      <c r="BG46" s="93">
        <f t="shared" si="15"/>
        <v>0</v>
      </c>
      <c r="BH46" s="93">
        <f t="shared" si="16"/>
        <v>0</v>
      </c>
      <c r="BI46" s="93">
        <f t="shared" si="17"/>
        <v>0</v>
      </c>
      <c r="BJ46" s="93">
        <f t="shared" si="18"/>
        <v>0</v>
      </c>
      <c r="BK46" s="380">
        <v>0</v>
      </c>
      <c r="BL46" s="380">
        <v>0</v>
      </c>
      <c r="BM46" s="380">
        <v>0</v>
      </c>
      <c r="BN46" s="380">
        <v>0</v>
      </c>
      <c r="BO46" s="96"/>
      <c r="BP46" s="96"/>
      <c r="BQ46" s="5">
        <f t="shared" si="7"/>
        <v>661</v>
      </c>
      <c r="BR46" s="5">
        <f t="shared" si="8"/>
        <v>0</v>
      </c>
      <c r="BS46" s="309">
        <v>0</v>
      </c>
      <c r="BT46" s="381">
        <v>0</v>
      </c>
      <c r="BU46" s="381">
        <v>0</v>
      </c>
      <c r="BV46" s="381">
        <v>0</v>
      </c>
      <c r="BW46" s="381">
        <v>0</v>
      </c>
      <c r="BX46" s="381">
        <v>661</v>
      </c>
      <c r="BY46" s="382">
        <v>657</v>
      </c>
      <c r="BZ46" s="382">
        <v>2</v>
      </c>
      <c r="CA46" s="382">
        <v>1</v>
      </c>
      <c r="CB46" s="382">
        <v>0</v>
      </c>
      <c r="CC46" s="382">
        <v>1</v>
      </c>
      <c r="CD46" s="383">
        <v>0</v>
      </c>
      <c r="CE46" s="383">
        <v>0</v>
      </c>
      <c r="CF46" s="383">
        <v>0</v>
      </c>
      <c r="CG46" s="383">
        <v>0</v>
      </c>
      <c r="CH46" s="383">
        <v>12</v>
      </c>
      <c r="CI46" s="383">
        <v>144</v>
      </c>
      <c r="CJ46" s="383">
        <v>163</v>
      </c>
      <c r="CK46" s="383">
        <v>128</v>
      </c>
      <c r="CL46" s="383">
        <v>79</v>
      </c>
      <c r="CM46" s="383">
        <v>56</v>
      </c>
      <c r="CN46" s="383">
        <v>38</v>
      </c>
      <c r="CO46" s="383">
        <v>29</v>
      </c>
      <c r="CP46" s="383">
        <v>3</v>
      </c>
      <c r="CQ46" s="383">
        <v>2</v>
      </c>
      <c r="CR46" s="383">
        <v>2</v>
      </c>
      <c r="CS46" s="383">
        <v>2</v>
      </c>
      <c r="CT46" s="383">
        <v>3</v>
      </c>
      <c r="CU46" s="383">
        <v>0</v>
      </c>
      <c r="CV46" s="25">
        <f t="shared" si="9"/>
        <v>0</v>
      </c>
      <c r="CW46" s="25">
        <f t="shared" si="10"/>
        <v>156</v>
      </c>
      <c r="CX46" s="25">
        <f t="shared" si="11"/>
        <v>464</v>
      </c>
      <c r="CY46" s="25">
        <f t="shared" si="12"/>
        <v>36</v>
      </c>
      <c r="CZ46" s="25">
        <f t="shared" si="13"/>
        <v>5</v>
      </c>
      <c r="DA46" s="384">
        <v>0</v>
      </c>
      <c r="DB46" s="384">
        <v>0</v>
      </c>
      <c r="DC46" s="384">
        <v>0</v>
      </c>
      <c r="DD46" s="384">
        <v>0</v>
      </c>
      <c r="DE46" s="384">
        <v>0</v>
      </c>
      <c r="DF46" s="384">
        <v>0</v>
      </c>
      <c r="DG46" s="384">
        <v>0</v>
      </c>
      <c r="DH46" s="384">
        <v>0</v>
      </c>
      <c r="DI46" s="384">
        <v>0</v>
      </c>
      <c r="DJ46" s="384">
        <v>0</v>
      </c>
      <c r="DK46" s="384">
        <v>0</v>
      </c>
      <c r="DL46" s="384">
        <v>0</v>
      </c>
      <c r="DM46" s="384">
        <v>0</v>
      </c>
      <c r="DN46" s="384">
        <v>0</v>
      </c>
      <c r="DO46" s="384">
        <v>0</v>
      </c>
      <c r="DP46" s="384">
        <v>0</v>
      </c>
      <c r="DQ46" s="384">
        <v>0</v>
      </c>
      <c r="DR46" s="384">
        <v>0</v>
      </c>
      <c r="DS46" s="94">
        <f t="shared" si="19"/>
        <v>0</v>
      </c>
      <c r="DT46" s="94">
        <f t="shared" si="20"/>
        <v>0</v>
      </c>
      <c r="DU46" s="94">
        <f t="shared" si="21"/>
        <v>0</v>
      </c>
      <c r="DV46" s="94">
        <f t="shared" si="22"/>
        <v>0</v>
      </c>
      <c r="DW46" s="94">
        <f t="shared" si="23"/>
        <v>0</v>
      </c>
      <c r="DX46" s="385">
        <v>6261</v>
      </c>
      <c r="DY46" s="385">
        <v>3631</v>
      </c>
      <c r="DZ46" s="385">
        <v>1058</v>
      </c>
      <c r="EA46" s="385">
        <v>6907</v>
      </c>
      <c r="EB46" s="96"/>
      <c r="EC46" s="96"/>
    </row>
    <row r="47" spans="1:133" ht="12.95" customHeight="1">
      <c r="A47" s="2">
        <v>44</v>
      </c>
      <c r="B47" s="3" t="s">
        <v>435</v>
      </c>
      <c r="C47" s="3" t="s">
        <v>117</v>
      </c>
      <c r="D47" s="4">
        <f t="shared" si="0"/>
        <v>108</v>
      </c>
      <c r="E47" s="4">
        <f t="shared" si="1"/>
        <v>0</v>
      </c>
      <c r="F47" s="312">
        <v>0</v>
      </c>
      <c r="G47" s="376">
        <v>0</v>
      </c>
      <c r="H47" s="376">
        <v>0</v>
      </c>
      <c r="I47" s="376">
        <v>0</v>
      </c>
      <c r="J47" s="376">
        <v>0</v>
      </c>
      <c r="K47" s="376">
        <v>108</v>
      </c>
      <c r="L47" s="377">
        <v>107</v>
      </c>
      <c r="M47" s="377">
        <v>1</v>
      </c>
      <c r="N47" s="377">
        <v>0</v>
      </c>
      <c r="O47" s="377">
        <v>0</v>
      </c>
      <c r="P47" s="377">
        <v>0</v>
      </c>
      <c r="Q47" s="378">
        <v>0</v>
      </c>
      <c r="R47" s="378">
        <v>0</v>
      </c>
      <c r="S47" s="378">
        <v>0</v>
      </c>
      <c r="T47" s="378">
        <v>1</v>
      </c>
      <c r="U47" s="378">
        <v>1</v>
      </c>
      <c r="V47" s="378">
        <v>1</v>
      </c>
      <c r="W47" s="378">
        <v>0</v>
      </c>
      <c r="X47" s="378">
        <v>0</v>
      </c>
      <c r="Y47" s="378">
        <v>2</v>
      </c>
      <c r="Z47" s="378">
        <v>2</v>
      </c>
      <c r="AA47" s="378">
        <v>9</v>
      </c>
      <c r="AB47" s="378">
        <v>14</v>
      </c>
      <c r="AC47" s="378">
        <v>12</v>
      </c>
      <c r="AD47" s="378">
        <v>25</v>
      </c>
      <c r="AE47" s="378">
        <v>15</v>
      </c>
      <c r="AF47" s="378">
        <v>19</v>
      </c>
      <c r="AG47" s="378">
        <v>5</v>
      </c>
      <c r="AH47" s="378">
        <v>2</v>
      </c>
      <c r="AI47" s="24">
        <f t="shared" si="2"/>
        <v>0</v>
      </c>
      <c r="AJ47" s="24">
        <f t="shared" si="3"/>
        <v>3</v>
      </c>
      <c r="AK47" s="24">
        <f t="shared" si="4"/>
        <v>13</v>
      </c>
      <c r="AL47" s="24">
        <f t="shared" si="5"/>
        <v>66</v>
      </c>
      <c r="AM47" s="24">
        <f t="shared" si="6"/>
        <v>26</v>
      </c>
      <c r="AN47" s="379">
        <v>0</v>
      </c>
      <c r="AO47" s="379">
        <v>0</v>
      </c>
      <c r="AP47" s="379">
        <v>0</v>
      </c>
      <c r="AQ47" s="379">
        <v>0</v>
      </c>
      <c r="AR47" s="379">
        <v>0</v>
      </c>
      <c r="AS47" s="379">
        <v>0</v>
      </c>
      <c r="AT47" s="379">
        <v>0</v>
      </c>
      <c r="AU47" s="379">
        <v>0</v>
      </c>
      <c r="AV47" s="379">
        <v>0</v>
      </c>
      <c r="AW47" s="379">
        <v>0</v>
      </c>
      <c r="AX47" s="379">
        <v>0</v>
      </c>
      <c r="AY47" s="379">
        <v>0</v>
      </c>
      <c r="AZ47" s="379">
        <v>0</v>
      </c>
      <c r="BA47" s="379">
        <v>0</v>
      </c>
      <c r="BB47" s="379">
        <v>0</v>
      </c>
      <c r="BC47" s="379">
        <v>0</v>
      </c>
      <c r="BD47" s="379">
        <v>0</v>
      </c>
      <c r="BE47" s="379">
        <v>0</v>
      </c>
      <c r="BF47" s="93">
        <f t="shared" si="14"/>
        <v>0</v>
      </c>
      <c r="BG47" s="93">
        <f t="shared" si="15"/>
        <v>0</v>
      </c>
      <c r="BH47" s="93">
        <f t="shared" si="16"/>
        <v>0</v>
      </c>
      <c r="BI47" s="93">
        <f t="shared" si="17"/>
        <v>0</v>
      </c>
      <c r="BJ47" s="93">
        <f t="shared" si="18"/>
        <v>0</v>
      </c>
      <c r="BK47" s="380">
        <v>545</v>
      </c>
      <c r="BL47" s="380">
        <v>273</v>
      </c>
      <c r="BM47" s="380">
        <v>78</v>
      </c>
      <c r="BN47" s="380">
        <v>624</v>
      </c>
      <c r="BO47" s="96"/>
      <c r="BP47" s="96"/>
      <c r="BQ47" s="5">
        <f t="shared" si="7"/>
        <v>39</v>
      </c>
      <c r="BR47" s="5">
        <f t="shared" si="8"/>
        <v>0</v>
      </c>
      <c r="BS47" s="309">
        <v>0</v>
      </c>
      <c r="BT47" s="381">
        <v>0</v>
      </c>
      <c r="BU47" s="381">
        <v>0</v>
      </c>
      <c r="BV47" s="381">
        <v>0</v>
      </c>
      <c r="BW47" s="381">
        <v>0</v>
      </c>
      <c r="BX47" s="381">
        <v>39</v>
      </c>
      <c r="BY47" s="382">
        <v>39</v>
      </c>
      <c r="BZ47" s="382">
        <v>0</v>
      </c>
      <c r="CA47" s="382">
        <v>0</v>
      </c>
      <c r="CB47" s="382">
        <v>0</v>
      </c>
      <c r="CC47" s="382">
        <v>0</v>
      </c>
      <c r="CD47" s="383">
        <v>0</v>
      </c>
      <c r="CE47" s="383">
        <v>0</v>
      </c>
      <c r="CF47" s="383">
        <v>0</v>
      </c>
      <c r="CG47" s="383">
        <v>1</v>
      </c>
      <c r="CH47" s="383">
        <v>0</v>
      </c>
      <c r="CI47" s="383">
        <v>0</v>
      </c>
      <c r="CJ47" s="383">
        <v>0</v>
      </c>
      <c r="CK47" s="383">
        <v>0</v>
      </c>
      <c r="CL47" s="383">
        <v>0</v>
      </c>
      <c r="CM47" s="383">
        <v>2</v>
      </c>
      <c r="CN47" s="383">
        <v>2</v>
      </c>
      <c r="CO47" s="383">
        <v>4</v>
      </c>
      <c r="CP47" s="383">
        <v>7</v>
      </c>
      <c r="CQ47" s="383">
        <v>6</v>
      </c>
      <c r="CR47" s="383">
        <v>3</v>
      </c>
      <c r="CS47" s="383">
        <v>8</v>
      </c>
      <c r="CT47" s="383">
        <v>4</v>
      </c>
      <c r="CU47" s="383">
        <v>2</v>
      </c>
      <c r="CV47" s="25">
        <f t="shared" si="9"/>
        <v>0</v>
      </c>
      <c r="CW47" s="25">
        <f t="shared" si="10"/>
        <v>1</v>
      </c>
      <c r="CX47" s="25">
        <f t="shared" si="11"/>
        <v>4</v>
      </c>
      <c r="CY47" s="25">
        <f t="shared" si="12"/>
        <v>20</v>
      </c>
      <c r="CZ47" s="25">
        <f t="shared" si="13"/>
        <v>14</v>
      </c>
      <c r="DA47" s="384">
        <v>0</v>
      </c>
      <c r="DB47" s="384">
        <v>0</v>
      </c>
      <c r="DC47" s="384">
        <v>0</v>
      </c>
      <c r="DD47" s="384">
        <v>0</v>
      </c>
      <c r="DE47" s="384">
        <v>0</v>
      </c>
      <c r="DF47" s="384">
        <v>0</v>
      </c>
      <c r="DG47" s="384">
        <v>0</v>
      </c>
      <c r="DH47" s="384">
        <v>0</v>
      </c>
      <c r="DI47" s="384">
        <v>0</v>
      </c>
      <c r="DJ47" s="384">
        <v>0</v>
      </c>
      <c r="DK47" s="384">
        <v>0</v>
      </c>
      <c r="DL47" s="384">
        <v>0</v>
      </c>
      <c r="DM47" s="384">
        <v>0</v>
      </c>
      <c r="DN47" s="384">
        <v>0</v>
      </c>
      <c r="DO47" s="384">
        <v>0</v>
      </c>
      <c r="DP47" s="384">
        <v>0</v>
      </c>
      <c r="DQ47" s="384">
        <v>0</v>
      </c>
      <c r="DR47" s="384">
        <v>0</v>
      </c>
      <c r="DS47" s="94">
        <f t="shared" si="19"/>
        <v>0</v>
      </c>
      <c r="DT47" s="94">
        <f t="shared" si="20"/>
        <v>0</v>
      </c>
      <c r="DU47" s="94">
        <f t="shared" si="21"/>
        <v>0</v>
      </c>
      <c r="DV47" s="94">
        <f t="shared" si="22"/>
        <v>0</v>
      </c>
      <c r="DW47" s="94">
        <f t="shared" si="23"/>
        <v>0</v>
      </c>
      <c r="DX47" s="385">
        <v>231</v>
      </c>
      <c r="DY47" s="385">
        <v>119</v>
      </c>
      <c r="DZ47" s="385">
        <v>37</v>
      </c>
      <c r="EA47" s="385">
        <v>261</v>
      </c>
      <c r="EB47" s="96"/>
      <c r="EC47" s="96"/>
    </row>
    <row r="48" spans="1:133" ht="12.95" customHeight="1">
      <c r="A48" s="12">
        <v>45</v>
      </c>
      <c r="B48" s="3" t="s">
        <v>267</v>
      </c>
      <c r="C48" s="3" t="s">
        <v>118</v>
      </c>
      <c r="D48" s="4">
        <f t="shared" si="0"/>
        <v>55</v>
      </c>
      <c r="E48" s="4">
        <f t="shared" si="1"/>
        <v>12</v>
      </c>
      <c r="F48" s="312">
        <v>0</v>
      </c>
      <c r="G48" s="376">
        <v>0</v>
      </c>
      <c r="H48" s="376">
        <v>0</v>
      </c>
      <c r="I48" s="376">
        <v>0</v>
      </c>
      <c r="J48" s="376">
        <v>0</v>
      </c>
      <c r="K48" s="376">
        <v>55</v>
      </c>
      <c r="L48" s="377">
        <v>33</v>
      </c>
      <c r="M48" s="377">
        <v>0</v>
      </c>
      <c r="N48" s="377">
        <v>2</v>
      </c>
      <c r="O48" s="377">
        <v>10</v>
      </c>
      <c r="P48" s="377">
        <v>10</v>
      </c>
      <c r="Q48" s="378">
        <v>1</v>
      </c>
      <c r="R48" s="378">
        <v>0</v>
      </c>
      <c r="S48" s="378">
        <v>1</v>
      </c>
      <c r="T48" s="378">
        <v>0</v>
      </c>
      <c r="U48" s="378">
        <v>1</v>
      </c>
      <c r="V48" s="378">
        <v>1</v>
      </c>
      <c r="W48" s="378">
        <v>2</v>
      </c>
      <c r="X48" s="378">
        <v>2</v>
      </c>
      <c r="Y48" s="378">
        <v>5</v>
      </c>
      <c r="Z48" s="378">
        <v>1</v>
      </c>
      <c r="AA48" s="378">
        <v>7</v>
      </c>
      <c r="AB48" s="378">
        <v>8</v>
      </c>
      <c r="AC48" s="378">
        <v>5</v>
      </c>
      <c r="AD48" s="378">
        <v>4</v>
      </c>
      <c r="AE48" s="378">
        <v>5</v>
      </c>
      <c r="AF48" s="378">
        <v>6</v>
      </c>
      <c r="AG48" s="378">
        <v>4</v>
      </c>
      <c r="AH48" s="378">
        <v>2</v>
      </c>
      <c r="AI48" s="24">
        <f t="shared" si="2"/>
        <v>2</v>
      </c>
      <c r="AJ48" s="24">
        <f t="shared" si="3"/>
        <v>2</v>
      </c>
      <c r="AK48" s="24">
        <f t="shared" si="4"/>
        <v>17</v>
      </c>
      <c r="AL48" s="24">
        <f t="shared" si="5"/>
        <v>22</v>
      </c>
      <c r="AM48" s="24">
        <f t="shared" si="6"/>
        <v>12</v>
      </c>
      <c r="AN48" s="379">
        <v>0</v>
      </c>
      <c r="AO48" s="379">
        <v>0</v>
      </c>
      <c r="AP48" s="379">
        <v>0</v>
      </c>
      <c r="AQ48" s="379">
        <v>0</v>
      </c>
      <c r="AR48" s="379">
        <v>0</v>
      </c>
      <c r="AS48" s="379">
        <v>0</v>
      </c>
      <c r="AT48" s="379">
        <v>1</v>
      </c>
      <c r="AU48" s="379">
        <v>0</v>
      </c>
      <c r="AV48" s="379">
        <v>0</v>
      </c>
      <c r="AW48" s="379">
        <v>1</v>
      </c>
      <c r="AX48" s="379">
        <v>0</v>
      </c>
      <c r="AY48" s="379">
        <v>2</v>
      </c>
      <c r="AZ48" s="379">
        <v>0</v>
      </c>
      <c r="BA48" s="379">
        <v>0</v>
      </c>
      <c r="BB48" s="379">
        <v>1</v>
      </c>
      <c r="BC48" s="379">
        <v>4</v>
      </c>
      <c r="BD48" s="379">
        <v>1</v>
      </c>
      <c r="BE48" s="379">
        <v>2</v>
      </c>
      <c r="BF48" s="93">
        <f t="shared" si="14"/>
        <v>0</v>
      </c>
      <c r="BG48" s="93">
        <f t="shared" si="15"/>
        <v>0</v>
      </c>
      <c r="BH48" s="93">
        <f t="shared" si="16"/>
        <v>2</v>
      </c>
      <c r="BI48" s="93">
        <f t="shared" si="17"/>
        <v>3</v>
      </c>
      <c r="BJ48" s="93">
        <f t="shared" si="18"/>
        <v>7</v>
      </c>
      <c r="BK48" s="380">
        <v>86</v>
      </c>
      <c r="BL48" s="380">
        <v>16</v>
      </c>
      <c r="BM48" s="380">
        <v>5</v>
      </c>
      <c r="BN48" s="380">
        <v>122</v>
      </c>
      <c r="BO48" s="96"/>
      <c r="BP48" s="96"/>
      <c r="BQ48" s="5">
        <f t="shared" si="7"/>
        <v>148</v>
      </c>
      <c r="BR48" s="5">
        <f t="shared" si="8"/>
        <v>21</v>
      </c>
      <c r="BS48" s="309">
        <v>0</v>
      </c>
      <c r="BT48" s="381">
        <v>0</v>
      </c>
      <c r="BU48" s="381">
        <v>0</v>
      </c>
      <c r="BV48" s="381">
        <v>0</v>
      </c>
      <c r="BW48" s="381">
        <v>0</v>
      </c>
      <c r="BX48" s="381">
        <v>148</v>
      </c>
      <c r="BY48" s="382">
        <v>116</v>
      </c>
      <c r="BZ48" s="382">
        <v>0</v>
      </c>
      <c r="CA48" s="382">
        <v>4</v>
      </c>
      <c r="CB48" s="382">
        <v>17</v>
      </c>
      <c r="CC48" s="382">
        <v>11</v>
      </c>
      <c r="CD48" s="383">
        <v>2</v>
      </c>
      <c r="CE48" s="383">
        <v>0</v>
      </c>
      <c r="CF48" s="383">
        <v>1</v>
      </c>
      <c r="CG48" s="383">
        <v>0</v>
      </c>
      <c r="CH48" s="383">
        <v>1</v>
      </c>
      <c r="CI48" s="383">
        <v>1</v>
      </c>
      <c r="CJ48" s="383">
        <v>1</v>
      </c>
      <c r="CK48" s="383">
        <v>5</v>
      </c>
      <c r="CL48" s="383">
        <v>5</v>
      </c>
      <c r="CM48" s="383">
        <v>6</v>
      </c>
      <c r="CN48" s="383">
        <v>17</v>
      </c>
      <c r="CO48" s="383">
        <v>13</v>
      </c>
      <c r="CP48" s="383">
        <v>21</v>
      </c>
      <c r="CQ48" s="383">
        <v>18</v>
      </c>
      <c r="CR48" s="383">
        <v>24</v>
      </c>
      <c r="CS48" s="383">
        <v>19</v>
      </c>
      <c r="CT48" s="383">
        <v>9</v>
      </c>
      <c r="CU48" s="383">
        <v>5</v>
      </c>
      <c r="CV48" s="25">
        <f t="shared" si="9"/>
        <v>3</v>
      </c>
      <c r="CW48" s="25">
        <f t="shared" si="10"/>
        <v>2</v>
      </c>
      <c r="CX48" s="25">
        <f t="shared" si="11"/>
        <v>34</v>
      </c>
      <c r="CY48" s="25">
        <f t="shared" si="12"/>
        <v>76</v>
      </c>
      <c r="CZ48" s="25">
        <f t="shared" si="13"/>
        <v>33</v>
      </c>
      <c r="DA48" s="384">
        <v>0</v>
      </c>
      <c r="DB48" s="384">
        <v>0</v>
      </c>
      <c r="DC48" s="384">
        <v>0</v>
      </c>
      <c r="DD48" s="384">
        <v>0</v>
      </c>
      <c r="DE48" s="384">
        <v>0</v>
      </c>
      <c r="DF48" s="384">
        <v>0</v>
      </c>
      <c r="DG48" s="384">
        <v>0</v>
      </c>
      <c r="DH48" s="384">
        <v>0</v>
      </c>
      <c r="DI48" s="384">
        <v>0</v>
      </c>
      <c r="DJ48" s="384">
        <v>0</v>
      </c>
      <c r="DK48" s="384">
        <v>1</v>
      </c>
      <c r="DL48" s="384">
        <v>1</v>
      </c>
      <c r="DM48" s="384">
        <v>0</v>
      </c>
      <c r="DN48" s="384">
        <v>5</v>
      </c>
      <c r="DO48" s="384">
        <v>6</v>
      </c>
      <c r="DP48" s="384">
        <v>2</v>
      </c>
      <c r="DQ48" s="384">
        <v>3</v>
      </c>
      <c r="DR48" s="384">
        <v>3</v>
      </c>
      <c r="DS48" s="94">
        <f t="shared" si="19"/>
        <v>0</v>
      </c>
      <c r="DT48" s="94">
        <f t="shared" si="20"/>
        <v>0</v>
      </c>
      <c r="DU48" s="94">
        <f t="shared" si="21"/>
        <v>1</v>
      </c>
      <c r="DV48" s="94">
        <f t="shared" si="22"/>
        <v>12</v>
      </c>
      <c r="DW48" s="94">
        <f t="shared" si="23"/>
        <v>8</v>
      </c>
      <c r="DX48" s="385">
        <v>309</v>
      </c>
      <c r="DY48" s="385">
        <v>51</v>
      </c>
      <c r="DZ48" s="385">
        <v>16</v>
      </c>
      <c r="EA48" s="385">
        <v>416</v>
      </c>
      <c r="EB48" s="96"/>
      <c r="EC48" s="96"/>
    </row>
    <row r="49" spans="1:133" ht="12.95" customHeight="1">
      <c r="A49" s="2">
        <v>46</v>
      </c>
      <c r="B49" s="3" t="s">
        <v>77</v>
      </c>
      <c r="C49" s="3" t="s">
        <v>119</v>
      </c>
      <c r="D49" s="4">
        <f t="shared" si="0"/>
        <v>0</v>
      </c>
      <c r="E49" s="4">
        <f t="shared" si="1"/>
        <v>0</v>
      </c>
      <c r="F49" s="312">
        <v>0</v>
      </c>
      <c r="G49" s="376">
        <v>0</v>
      </c>
      <c r="H49" s="376">
        <v>0</v>
      </c>
      <c r="I49" s="376">
        <v>0</v>
      </c>
      <c r="J49" s="376">
        <v>0</v>
      </c>
      <c r="K49" s="376">
        <v>0</v>
      </c>
      <c r="L49" s="377">
        <v>0</v>
      </c>
      <c r="M49" s="377">
        <v>0</v>
      </c>
      <c r="N49" s="377">
        <v>0</v>
      </c>
      <c r="O49" s="377">
        <v>0</v>
      </c>
      <c r="P49" s="377">
        <v>0</v>
      </c>
      <c r="Q49" s="378">
        <v>0</v>
      </c>
      <c r="R49" s="378">
        <v>0</v>
      </c>
      <c r="S49" s="378">
        <v>0</v>
      </c>
      <c r="T49" s="378">
        <v>0</v>
      </c>
      <c r="U49" s="378">
        <v>0</v>
      </c>
      <c r="V49" s="378">
        <v>0</v>
      </c>
      <c r="W49" s="378">
        <v>0</v>
      </c>
      <c r="X49" s="378">
        <v>0</v>
      </c>
      <c r="Y49" s="378">
        <v>0</v>
      </c>
      <c r="Z49" s="378">
        <v>0</v>
      </c>
      <c r="AA49" s="378">
        <v>0</v>
      </c>
      <c r="AB49" s="378">
        <v>0</v>
      </c>
      <c r="AC49" s="378">
        <v>0</v>
      </c>
      <c r="AD49" s="378">
        <v>0</v>
      </c>
      <c r="AE49" s="378">
        <v>0</v>
      </c>
      <c r="AF49" s="378">
        <v>0</v>
      </c>
      <c r="AG49" s="378">
        <v>0</v>
      </c>
      <c r="AH49" s="378">
        <v>0</v>
      </c>
      <c r="AI49" s="24">
        <f t="shared" si="2"/>
        <v>0</v>
      </c>
      <c r="AJ49" s="24">
        <f t="shared" si="3"/>
        <v>0</v>
      </c>
      <c r="AK49" s="24">
        <f t="shared" si="4"/>
        <v>0</v>
      </c>
      <c r="AL49" s="24">
        <f t="shared" si="5"/>
        <v>0</v>
      </c>
      <c r="AM49" s="24">
        <f t="shared" si="6"/>
        <v>0</v>
      </c>
      <c r="AN49" s="379">
        <v>0</v>
      </c>
      <c r="AO49" s="379">
        <v>0</v>
      </c>
      <c r="AP49" s="379">
        <v>0</v>
      </c>
      <c r="AQ49" s="379">
        <v>0</v>
      </c>
      <c r="AR49" s="379">
        <v>0</v>
      </c>
      <c r="AS49" s="379">
        <v>0</v>
      </c>
      <c r="AT49" s="379">
        <v>0</v>
      </c>
      <c r="AU49" s="379">
        <v>0</v>
      </c>
      <c r="AV49" s="379">
        <v>0</v>
      </c>
      <c r="AW49" s="379">
        <v>0</v>
      </c>
      <c r="AX49" s="379">
        <v>0</v>
      </c>
      <c r="AY49" s="379">
        <v>0</v>
      </c>
      <c r="AZ49" s="379">
        <v>0</v>
      </c>
      <c r="BA49" s="379">
        <v>0</v>
      </c>
      <c r="BB49" s="379">
        <v>0</v>
      </c>
      <c r="BC49" s="379">
        <v>0</v>
      </c>
      <c r="BD49" s="379">
        <v>0</v>
      </c>
      <c r="BE49" s="379">
        <v>0</v>
      </c>
      <c r="BF49" s="93">
        <f t="shared" si="14"/>
        <v>0</v>
      </c>
      <c r="BG49" s="93">
        <f t="shared" si="15"/>
        <v>0</v>
      </c>
      <c r="BH49" s="93">
        <f t="shared" si="16"/>
        <v>0</v>
      </c>
      <c r="BI49" s="93">
        <f t="shared" si="17"/>
        <v>0</v>
      </c>
      <c r="BJ49" s="93">
        <f t="shared" si="18"/>
        <v>0</v>
      </c>
      <c r="BK49" s="380">
        <v>0</v>
      </c>
      <c r="BL49" s="380">
        <v>0</v>
      </c>
      <c r="BM49" s="380">
        <v>0</v>
      </c>
      <c r="BN49" s="380">
        <v>0</v>
      </c>
      <c r="BO49" s="96"/>
      <c r="BP49" s="96"/>
      <c r="BQ49" s="5">
        <f t="shared" si="7"/>
        <v>67</v>
      </c>
      <c r="BR49" s="5">
        <f t="shared" si="8"/>
        <v>0</v>
      </c>
      <c r="BS49" s="309">
        <v>0</v>
      </c>
      <c r="BT49" s="381">
        <v>38</v>
      </c>
      <c r="BU49" s="381">
        <v>5</v>
      </c>
      <c r="BV49" s="381">
        <v>3</v>
      </c>
      <c r="BW49" s="381">
        <v>0</v>
      </c>
      <c r="BX49" s="381">
        <v>21</v>
      </c>
      <c r="BY49" s="382">
        <v>67</v>
      </c>
      <c r="BZ49" s="382">
        <v>0</v>
      </c>
      <c r="CA49" s="382">
        <v>0</v>
      </c>
      <c r="CB49" s="382">
        <v>0</v>
      </c>
      <c r="CC49" s="382">
        <v>0</v>
      </c>
      <c r="CD49" s="383">
        <v>0</v>
      </c>
      <c r="CE49" s="383">
        <v>0</v>
      </c>
      <c r="CF49" s="383">
        <v>0</v>
      </c>
      <c r="CG49" s="383">
        <v>2</v>
      </c>
      <c r="CH49" s="383">
        <v>1</v>
      </c>
      <c r="CI49" s="383">
        <v>3</v>
      </c>
      <c r="CJ49" s="383">
        <v>5</v>
      </c>
      <c r="CK49" s="383">
        <v>10</v>
      </c>
      <c r="CL49" s="383">
        <v>6</v>
      </c>
      <c r="CM49" s="383">
        <v>6</v>
      </c>
      <c r="CN49" s="383">
        <v>9</v>
      </c>
      <c r="CO49" s="383">
        <v>8</v>
      </c>
      <c r="CP49" s="383">
        <v>4</v>
      </c>
      <c r="CQ49" s="383">
        <v>4</v>
      </c>
      <c r="CR49" s="383">
        <v>5</v>
      </c>
      <c r="CS49" s="383">
        <v>3</v>
      </c>
      <c r="CT49" s="383">
        <v>1</v>
      </c>
      <c r="CU49" s="383">
        <v>0</v>
      </c>
      <c r="CV49" s="25">
        <f t="shared" si="9"/>
        <v>0</v>
      </c>
      <c r="CW49" s="25">
        <f t="shared" si="10"/>
        <v>6</v>
      </c>
      <c r="CX49" s="25">
        <f t="shared" si="11"/>
        <v>36</v>
      </c>
      <c r="CY49" s="25">
        <f t="shared" si="12"/>
        <v>21</v>
      </c>
      <c r="CZ49" s="25">
        <f t="shared" si="13"/>
        <v>4</v>
      </c>
      <c r="DA49" s="384">
        <v>0</v>
      </c>
      <c r="DB49" s="384">
        <v>0</v>
      </c>
      <c r="DC49" s="384">
        <v>0</v>
      </c>
      <c r="DD49" s="384">
        <v>0</v>
      </c>
      <c r="DE49" s="384">
        <v>0</v>
      </c>
      <c r="DF49" s="384">
        <v>0</v>
      </c>
      <c r="DG49" s="384">
        <v>0</v>
      </c>
      <c r="DH49" s="384">
        <v>0</v>
      </c>
      <c r="DI49" s="384">
        <v>0</v>
      </c>
      <c r="DJ49" s="384">
        <v>0</v>
      </c>
      <c r="DK49" s="384">
        <v>0</v>
      </c>
      <c r="DL49" s="384">
        <v>0</v>
      </c>
      <c r="DM49" s="384">
        <v>0</v>
      </c>
      <c r="DN49" s="384">
        <v>0</v>
      </c>
      <c r="DO49" s="384">
        <v>0</v>
      </c>
      <c r="DP49" s="384">
        <v>0</v>
      </c>
      <c r="DQ49" s="384">
        <v>0</v>
      </c>
      <c r="DR49" s="384">
        <v>0</v>
      </c>
      <c r="DS49" s="94">
        <f t="shared" si="19"/>
        <v>0</v>
      </c>
      <c r="DT49" s="94">
        <f t="shared" si="20"/>
        <v>0</v>
      </c>
      <c r="DU49" s="94">
        <f t="shared" si="21"/>
        <v>0</v>
      </c>
      <c r="DV49" s="94">
        <f t="shared" si="22"/>
        <v>0</v>
      </c>
      <c r="DW49" s="94">
        <f t="shared" si="23"/>
        <v>0</v>
      </c>
      <c r="DX49" s="385">
        <v>441</v>
      </c>
      <c r="DY49" s="385">
        <v>252</v>
      </c>
      <c r="DZ49" s="385">
        <v>77</v>
      </c>
      <c r="EA49" s="385">
        <v>500</v>
      </c>
      <c r="EB49" s="96"/>
      <c r="EC49" s="96"/>
    </row>
    <row r="50" spans="1:133" ht="12.95" customHeight="1">
      <c r="A50" s="12">
        <v>47</v>
      </c>
      <c r="B50" s="3" t="s">
        <v>432</v>
      </c>
      <c r="C50" s="3" t="s">
        <v>120</v>
      </c>
      <c r="D50" s="4">
        <f t="shared" si="0"/>
        <v>19</v>
      </c>
      <c r="E50" s="4">
        <f t="shared" si="1"/>
        <v>5</v>
      </c>
      <c r="F50" s="312">
        <v>0</v>
      </c>
      <c r="G50" s="376">
        <v>0</v>
      </c>
      <c r="H50" s="376">
        <v>0</v>
      </c>
      <c r="I50" s="376">
        <v>0</v>
      </c>
      <c r="J50" s="376">
        <v>0</v>
      </c>
      <c r="K50" s="376">
        <v>19</v>
      </c>
      <c r="L50" s="377">
        <v>15</v>
      </c>
      <c r="M50" s="377">
        <v>0</v>
      </c>
      <c r="N50" s="377">
        <v>1</v>
      </c>
      <c r="O50" s="377">
        <v>3</v>
      </c>
      <c r="P50" s="377">
        <v>0</v>
      </c>
      <c r="Q50" s="378">
        <v>3</v>
      </c>
      <c r="R50" s="378">
        <v>0</v>
      </c>
      <c r="S50" s="378">
        <v>0</v>
      </c>
      <c r="T50" s="378">
        <v>0</v>
      </c>
      <c r="U50" s="378">
        <v>0</v>
      </c>
      <c r="V50" s="378">
        <v>0</v>
      </c>
      <c r="W50" s="378">
        <v>2</v>
      </c>
      <c r="X50" s="378">
        <v>0</v>
      </c>
      <c r="Y50" s="378">
        <v>2</v>
      </c>
      <c r="Z50" s="378">
        <v>2</v>
      </c>
      <c r="AA50" s="378">
        <v>2</v>
      </c>
      <c r="AB50" s="378">
        <v>0</v>
      </c>
      <c r="AC50" s="378">
        <v>1</v>
      </c>
      <c r="AD50" s="378">
        <v>0</v>
      </c>
      <c r="AE50" s="378">
        <v>2</v>
      </c>
      <c r="AF50" s="378">
        <v>3</v>
      </c>
      <c r="AG50" s="378">
        <v>2</v>
      </c>
      <c r="AH50" s="378">
        <v>0</v>
      </c>
      <c r="AI50" s="24">
        <f t="shared" si="2"/>
        <v>3</v>
      </c>
      <c r="AJ50" s="24">
        <f t="shared" si="3"/>
        <v>0</v>
      </c>
      <c r="AK50" s="24">
        <f t="shared" si="4"/>
        <v>8</v>
      </c>
      <c r="AL50" s="24">
        <f t="shared" si="5"/>
        <v>3</v>
      </c>
      <c r="AM50" s="24">
        <f t="shared" si="6"/>
        <v>5</v>
      </c>
      <c r="AN50" s="379">
        <v>0</v>
      </c>
      <c r="AO50" s="379">
        <v>0</v>
      </c>
      <c r="AP50" s="379">
        <v>0</v>
      </c>
      <c r="AQ50" s="379">
        <v>0</v>
      </c>
      <c r="AR50" s="379">
        <v>0</v>
      </c>
      <c r="AS50" s="379">
        <v>0</v>
      </c>
      <c r="AT50" s="379">
        <v>1</v>
      </c>
      <c r="AU50" s="379">
        <v>0</v>
      </c>
      <c r="AV50" s="379">
        <v>0</v>
      </c>
      <c r="AW50" s="379">
        <v>0</v>
      </c>
      <c r="AX50" s="379">
        <v>1</v>
      </c>
      <c r="AY50" s="379">
        <v>0</v>
      </c>
      <c r="AZ50" s="379">
        <v>0</v>
      </c>
      <c r="BA50" s="379">
        <v>0</v>
      </c>
      <c r="BB50" s="379">
        <v>0</v>
      </c>
      <c r="BC50" s="379">
        <v>2</v>
      </c>
      <c r="BD50" s="379">
        <v>1</v>
      </c>
      <c r="BE50" s="379">
        <v>0</v>
      </c>
      <c r="BF50" s="93">
        <f t="shared" si="14"/>
        <v>0</v>
      </c>
      <c r="BG50" s="93">
        <f t="shared" si="15"/>
        <v>0</v>
      </c>
      <c r="BH50" s="93">
        <f t="shared" si="16"/>
        <v>2</v>
      </c>
      <c r="BI50" s="93">
        <f t="shared" si="17"/>
        <v>0</v>
      </c>
      <c r="BJ50" s="93">
        <f t="shared" si="18"/>
        <v>3</v>
      </c>
      <c r="BK50" s="380">
        <v>51</v>
      </c>
      <c r="BL50" s="380">
        <v>23</v>
      </c>
      <c r="BM50" s="380">
        <v>9</v>
      </c>
      <c r="BN50" s="380">
        <v>64</v>
      </c>
      <c r="BO50" s="96"/>
      <c r="BP50" s="96"/>
      <c r="BQ50" s="5">
        <f t="shared" si="7"/>
        <v>30</v>
      </c>
      <c r="BR50" s="5">
        <f t="shared" si="8"/>
        <v>6</v>
      </c>
      <c r="BS50" s="309">
        <v>0</v>
      </c>
      <c r="BT50" s="381">
        <v>0</v>
      </c>
      <c r="BU50" s="381">
        <v>0</v>
      </c>
      <c r="BV50" s="381">
        <v>0</v>
      </c>
      <c r="BW50" s="381">
        <v>0</v>
      </c>
      <c r="BX50" s="381">
        <v>30</v>
      </c>
      <c r="BY50" s="382">
        <v>13</v>
      </c>
      <c r="BZ50" s="382">
        <v>0</v>
      </c>
      <c r="CA50" s="382">
        <v>5</v>
      </c>
      <c r="CB50" s="382">
        <v>8</v>
      </c>
      <c r="CC50" s="382">
        <v>4</v>
      </c>
      <c r="CD50" s="383">
        <v>1</v>
      </c>
      <c r="CE50" s="383">
        <v>0</v>
      </c>
      <c r="CF50" s="383">
        <v>1</v>
      </c>
      <c r="CG50" s="383">
        <v>0</v>
      </c>
      <c r="CH50" s="383">
        <v>0</v>
      </c>
      <c r="CI50" s="383">
        <v>0</v>
      </c>
      <c r="CJ50" s="383">
        <v>0</v>
      </c>
      <c r="CK50" s="383">
        <v>1</v>
      </c>
      <c r="CL50" s="383">
        <v>0</v>
      </c>
      <c r="CM50" s="383">
        <v>1</v>
      </c>
      <c r="CN50" s="383">
        <v>1</v>
      </c>
      <c r="CO50" s="383">
        <v>3</v>
      </c>
      <c r="CP50" s="383">
        <v>3</v>
      </c>
      <c r="CQ50" s="383">
        <v>3</v>
      </c>
      <c r="CR50" s="383">
        <v>4</v>
      </c>
      <c r="CS50" s="383">
        <v>2</v>
      </c>
      <c r="CT50" s="383">
        <v>5</v>
      </c>
      <c r="CU50" s="383">
        <v>5</v>
      </c>
      <c r="CV50" s="25">
        <f t="shared" si="9"/>
        <v>2</v>
      </c>
      <c r="CW50" s="25">
        <f t="shared" si="10"/>
        <v>0</v>
      </c>
      <c r="CX50" s="25">
        <f t="shared" si="11"/>
        <v>3</v>
      </c>
      <c r="CY50" s="25">
        <f t="shared" si="12"/>
        <v>13</v>
      </c>
      <c r="CZ50" s="25">
        <f t="shared" si="13"/>
        <v>12</v>
      </c>
      <c r="DA50" s="384">
        <v>0</v>
      </c>
      <c r="DB50" s="384">
        <v>0</v>
      </c>
      <c r="DC50" s="384">
        <v>1</v>
      </c>
      <c r="DD50" s="384">
        <v>0</v>
      </c>
      <c r="DE50" s="384">
        <v>0</v>
      </c>
      <c r="DF50" s="384">
        <v>0</v>
      </c>
      <c r="DG50" s="384">
        <v>0</v>
      </c>
      <c r="DH50" s="384">
        <v>0</v>
      </c>
      <c r="DI50" s="384">
        <v>0</v>
      </c>
      <c r="DJ50" s="384">
        <v>0</v>
      </c>
      <c r="DK50" s="384">
        <v>0</v>
      </c>
      <c r="DL50" s="384">
        <v>0</v>
      </c>
      <c r="DM50" s="384">
        <v>0</v>
      </c>
      <c r="DN50" s="384">
        <v>0</v>
      </c>
      <c r="DO50" s="384">
        <v>2</v>
      </c>
      <c r="DP50" s="384">
        <v>1</v>
      </c>
      <c r="DQ50" s="384">
        <v>1</v>
      </c>
      <c r="DR50" s="384">
        <v>1</v>
      </c>
      <c r="DS50" s="94">
        <f t="shared" si="19"/>
        <v>1</v>
      </c>
      <c r="DT50" s="94">
        <f t="shared" si="20"/>
        <v>0</v>
      </c>
      <c r="DU50" s="94">
        <f t="shared" si="21"/>
        <v>0</v>
      </c>
      <c r="DV50" s="94">
        <f t="shared" si="22"/>
        <v>2</v>
      </c>
      <c r="DW50" s="94">
        <f t="shared" si="23"/>
        <v>3</v>
      </c>
      <c r="DX50" s="385">
        <v>69</v>
      </c>
      <c r="DY50" s="385">
        <v>20</v>
      </c>
      <c r="DZ50" s="385">
        <v>8</v>
      </c>
      <c r="EA50" s="385">
        <v>82</v>
      </c>
      <c r="EB50" s="96"/>
      <c r="EC50" s="96"/>
    </row>
    <row r="51" spans="1:133" ht="12.95" customHeight="1">
      <c r="A51" s="2">
        <v>48</v>
      </c>
      <c r="B51" s="3" t="s">
        <v>121</v>
      </c>
      <c r="C51" s="3" t="s">
        <v>122</v>
      </c>
      <c r="D51" s="4">
        <f t="shared" si="0"/>
        <v>171</v>
      </c>
      <c r="E51" s="4">
        <f t="shared" si="1"/>
        <v>35</v>
      </c>
      <c r="F51" s="312">
        <v>0</v>
      </c>
      <c r="G51" s="376">
        <v>0</v>
      </c>
      <c r="H51" s="376">
        <v>0</v>
      </c>
      <c r="I51" s="376">
        <v>0</v>
      </c>
      <c r="J51" s="376">
        <v>0</v>
      </c>
      <c r="K51" s="376">
        <v>171</v>
      </c>
      <c r="L51" s="377">
        <v>149</v>
      </c>
      <c r="M51" s="377">
        <v>2</v>
      </c>
      <c r="N51" s="377">
        <v>0</v>
      </c>
      <c r="O51" s="377">
        <v>19</v>
      </c>
      <c r="P51" s="377">
        <v>1</v>
      </c>
      <c r="Q51" s="378">
        <v>0</v>
      </c>
      <c r="R51" s="378">
        <v>1</v>
      </c>
      <c r="S51" s="378">
        <v>0</v>
      </c>
      <c r="T51" s="378">
        <v>0</v>
      </c>
      <c r="U51" s="378">
        <v>0</v>
      </c>
      <c r="V51" s="378">
        <v>2</v>
      </c>
      <c r="W51" s="378">
        <v>1</v>
      </c>
      <c r="X51" s="378">
        <v>2</v>
      </c>
      <c r="Y51" s="378">
        <v>3</v>
      </c>
      <c r="Z51" s="378">
        <v>7</v>
      </c>
      <c r="AA51" s="378">
        <v>9</v>
      </c>
      <c r="AB51" s="378">
        <v>13</v>
      </c>
      <c r="AC51" s="378">
        <v>16</v>
      </c>
      <c r="AD51" s="378">
        <v>18</v>
      </c>
      <c r="AE51" s="378">
        <v>27</v>
      </c>
      <c r="AF51" s="378">
        <v>35</v>
      </c>
      <c r="AG51" s="378">
        <v>21</v>
      </c>
      <c r="AH51" s="378">
        <v>16</v>
      </c>
      <c r="AI51" s="24">
        <f t="shared" si="2"/>
        <v>1</v>
      </c>
      <c r="AJ51" s="24">
        <f t="shared" si="3"/>
        <v>2</v>
      </c>
      <c r="AK51" s="24">
        <f t="shared" si="4"/>
        <v>22</v>
      </c>
      <c r="AL51" s="24">
        <f t="shared" si="5"/>
        <v>74</v>
      </c>
      <c r="AM51" s="24">
        <f t="shared" si="6"/>
        <v>72</v>
      </c>
      <c r="AN51" s="379">
        <v>1</v>
      </c>
      <c r="AO51" s="379">
        <v>0</v>
      </c>
      <c r="AP51" s="379">
        <v>0</v>
      </c>
      <c r="AQ51" s="379">
        <v>0</v>
      </c>
      <c r="AR51" s="379">
        <v>1</v>
      </c>
      <c r="AS51" s="379">
        <v>0</v>
      </c>
      <c r="AT51" s="379">
        <v>0</v>
      </c>
      <c r="AU51" s="379">
        <v>0</v>
      </c>
      <c r="AV51" s="379">
        <v>0</v>
      </c>
      <c r="AW51" s="379">
        <v>0</v>
      </c>
      <c r="AX51" s="379">
        <v>2</v>
      </c>
      <c r="AY51" s="379">
        <v>2</v>
      </c>
      <c r="AZ51" s="379">
        <v>2</v>
      </c>
      <c r="BA51" s="379">
        <v>3</v>
      </c>
      <c r="BB51" s="379">
        <v>6</v>
      </c>
      <c r="BC51" s="379">
        <v>9</v>
      </c>
      <c r="BD51" s="379">
        <v>5</v>
      </c>
      <c r="BE51" s="379">
        <v>4</v>
      </c>
      <c r="BF51" s="93">
        <f t="shared" si="14"/>
        <v>1</v>
      </c>
      <c r="BG51" s="93">
        <f t="shared" si="15"/>
        <v>1</v>
      </c>
      <c r="BH51" s="93">
        <f t="shared" si="16"/>
        <v>2</v>
      </c>
      <c r="BI51" s="93">
        <f t="shared" si="17"/>
        <v>13</v>
      </c>
      <c r="BJ51" s="93">
        <f t="shared" si="18"/>
        <v>18</v>
      </c>
      <c r="BK51" s="380">
        <v>615</v>
      </c>
      <c r="BL51" s="380">
        <v>286</v>
      </c>
      <c r="BM51" s="380">
        <v>50</v>
      </c>
      <c r="BN51" s="380">
        <v>715</v>
      </c>
      <c r="BO51" s="96"/>
      <c r="BP51" s="96"/>
      <c r="BQ51" s="5">
        <f t="shared" si="7"/>
        <v>237</v>
      </c>
      <c r="BR51" s="5">
        <f t="shared" si="8"/>
        <v>28</v>
      </c>
      <c r="BS51" s="309">
        <v>0</v>
      </c>
      <c r="BT51" s="381">
        <v>0</v>
      </c>
      <c r="BU51" s="381">
        <v>0</v>
      </c>
      <c r="BV51" s="381">
        <v>0</v>
      </c>
      <c r="BW51" s="381">
        <v>0</v>
      </c>
      <c r="BX51" s="381">
        <v>237</v>
      </c>
      <c r="BY51" s="382">
        <v>202</v>
      </c>
      <c r="BZ51" s="382">
        <v>4</v>
      </c>
      <c r="CA51" s="382">
        <v>1</v>
      </c>
      <c r="CB51" s="382">
        <v>29</v>
      </c>
      <c r="CC51" s="382">
        <v>2</v>
      </c>
      <c r="CD51" s="383">
        <v>0</v>
      </c>
      <c r="CE51" s="383">
        <v>0</v>
      </c>
      <c r="CF51" s="383">
        <v>1</v>
      </c>
      <c r="CG51" s="383">
        <v>0</v>
      </c>
      <c r="CH51" s="383">
        <v>2</v>
      </c>
      <c r="CI51" s="383">
        <v>1</v>
      </c>
      <c r="CJ51" s="383">
        <v>8</v>
      </c>
      <c r="CK51" s="383">
        <v>6</v>
      </c>
      <c r="CL51" s="383">
        <v>6</v>
      </c>
      <c r="CM51" s="383">
        <v>7</v>
      </c>
      <c r="CN51" s="383">
        <v>5</v>
      </c>
      <c r="CO51" s="383">
        <v>19</v>
      </c>
      <c r="CP51" s="383">
        <v>22</v>
      </c>
      <c r="CQ51" s="383">
        <v>28</v>
      </c>
      <c r="CR51" s="383">
        <v>37</v>
      </c>
      <c r="CS51" s="383">
        <v>31</v>
      </c>
      <c r="CT51" s="383">
        <v>35</v>
      </c>
      <c r="CU51" s="383">
        <v>29</v>
      </c>
      <c r="CV51" s="25">
        <f t="shared" si="9"/>
        <v>1</v>
      </c>
      <c r="CW51" s="25">
        <f t="shared" si="10"/>
        <v>3</v>
      </c>
      <c r="CX51" s="25">
        <f t="shared" si="11"/>
        <v>32</v>
      </c>
      <c r="CY51" s="25">
        <f t="shared" si="12"/>
        <v>106</v>
      </c>
      <c r="CZ51" s="25">
        <f t="shared" si="13"/>
        <v>95</v>
      </c>
      <c r="DA51" s="384">
        <v>0</v>
      </c>
      <c r="DB51" s="384">
        <v>0</v>
      </c>
      <c r="DC51" s="384">
        <v>0</v>
      </c>
      <c r="DD51" s="384">
        <v>0</v>
      </c>
      <c r="DE51" s="384">
        <v>0</v>
      </c>
      <c r="DF51" s="384">
        <v>0</v>
      </c>
      <c r="DG51" s="384">
        <v>0</v>
      </c>
      <c r="DH51" s="384">
        <v>0</v>
      </c>
      <c r="DI51" s="384">
        <v>0</v>
      </c>
      <c r="DJ51" s="384">
        <v>0</v>
      </c>
      <c r="DK51" s="384">
        <v>0</v>
      </c>
      <c r="DL51" s="384">
        <v>0</v>
      </c>
      <c r="DM51" s="384">
        <v>2</v>
      </c>
      <c r="DN51" s="384">
        <v>0</v>
      </c>
      <c r="DO51" s="384">
        <v>7</v>
      </c>
      <c r="DP51" s="384">
        <v>3</v>
      </c>
      <c r="DQ51" s="384">
        <v>7</v>
      </c>
      <c r="DR51" s="384">
        <v>9</v>
      </c>
      <c r="DS51" s="94">
        <f t="shared" si="19"/>
        <v>0</v>
      </c>
      <c r="DT51" s="94">
        <f t="shared" si="20"/>
        <v>0</v>
      </c>
      <c r="DU51" s="94">
        <f t="shared" si="21"/>
        <v>0</v>
      </c>
      <c r="DV51" s="94">
        <f t="shared" si="22"/>
        <v>9</v>
      </c>
      <c r="DW51" s="94">
        <f t="shared" si="23"/>
        <v>19</v>
      </c>
      <c r="DX51" s="385">
        <v>1067</v>
      </c>
      <c r="DY51" s="385">
        <v>514</v>
      </c>
      <c r="DZ51" s="385">
        <v>90</v>
      </c>
      <c r="EA51" s="385">
        <v>1238</v>
      </c>
      <c r="EC51" s="96"/>
    </row>
    <row r="52" spans="1:133" ht="15">
      <c r="BK52" s="306"/>
      <c r="BL52" s="306"/>
      <c r="BM52" s="306"/>
      <c r="BN52" s="306"/>
      <c r="DX52" s="307"/>
      <c r="DY52" s="307"/>
      <c r="DZ52" s="307"/>
      <c r="EA52" s="307"/>
    </row>
    <row r="53" spans="1:133" ht="15">
      <c r="DX53" s="307"/>
      <c r="DY53" s="307"/>
      <c r="DZ53" s="307"/>
      <c r="EA53" s="307"/>
    </row>
    <row r="54" spans="1:133" ht="15">
      <c r="DX54" s="307"/>
      <c r="DY54" s="307"/>
      <c r="DZ54" s="307"/>
      <c r="EA54" s="307"/>
    </row>
    <row r="55" spans="1:133" ht="15">
      <c r="DX55" s="307"/>
      <c r="DY55" s="307"/>
      <c r="DZ55" s="307"/>
      <c r="EA55" s="307"/>
    </row>
    <row r="56" spans="1:133" ht="15">
      <c r="DX56" s="307"/>
      <c r="DY56" s="307"/>
      <c r="DZ56" s="307"/>
      <c r="EA56" s="307"/>
    </row>
    <row r="57" spans="1:133" ht="15">
      <c r="DX57" s="307"/>
      <c r="DY57" s="307"/>
      <c r="DZ57" s="307"/>
      <c r="EA57" s="307"/>
    </row>
    <row r="58" spans="1:133" ht="15">
      <c r="DX58" s="307"/>
      <c r="DY58" s="307"/>
      <c r="DZ58" s="307"/>
      <c r="EA58" s="307"/>
    </row>
    <row r="59" spans="1:133" ht="15">
      <c r="DX59" s="307"/>
      <c r="DY59" s="307"/>
      <c r="DZ59" s="307"/>
      <c r="EA59" s="307"/>
    </row>
    <row r="60" spans="1:133" ht="15">
      <c r="DX60" s="307"/>
      <c r="DY60" s="307"/>
      <c r="DZ60" s="307"/>
      <c r="EA60" s="307"/>
    </row>
    <row r="61" spans="1:133" ht="15">
      <c r="DX61" s="307"/>
      <c r="DY61" s="307"/>
      <c r="DZ61" s="307"/>
      <c r="EA61" s="307"/>
    </row>
    <row r="62" spans="1:133" ht="15">
      <c r="DX62" s="307"/>
      <c r="DY62" s="307"/>
      <c r="DZ62" s="307"/>
      <c r="EA62" s="307"/>
    </row>
    <row r="63" spans="1:133" ht="15">
      <c r="DX63" s="307"/>
      <c r="DY63" s="307"/>
      <c r="DZ63" s="307"/>
      <c r="EA63" s="307"/>
    </row>
    <row r="64" spans="1:133" ht="15">
      <c r="DX64" s="307"/>
      <c r="DY64" s="307"/>
      <c r="DZ64" s="307"/>
      <c r="EA64" s="307"/>
    </row>
    <row r="65" spans="128:131" ht="15">
      <c r="DX65" s="307"/>
      <c r="DY65" s="307"/>
      <c r="DZ65" s="307"/>
      <c r="EA65" s="307"/>
    </row>
    <row r="66" spans="128:131" ht="15">
      <c r="DX66" s="307"/>
      <c r="DY66" s="307"/>
      <c r="DZ66" s="307"/>
      <c r="EA66" s="307"/>
    </row>
    <row r="67" spans="128:131" ht="15">
      <c r="DX67" s="307"/>
      <c r="DY67" s="307"/>
      <c r="DZ67" s="307"/>
      <c r="EA67" s="307"/>
    </row>
    <row r="68" spans="128:131" ht="15">
      <c r="DX68" s="307"/>
      <c r="DY68" s="307"/>
      <c r="DZ68" s="307"/>
      <c r="EA68" s="307"/>
    </row>
    <row r="69" spans="128:131" ht="15">
      <c r="DX69" s="307"/>
      <c r="DY69" s="307"/>
      <c r="DZ69" s="307"/>
      <c r="EA69" s="307"/>
    </row>
    <row r="70" spans="128:131" ht="15">
      <c r="DX70" s="307"/>
      <c r="DY70" s="307"/>
      <c r="DZ70" s="307"/>
      <c r="EA70" s="307"/>
    </row>
    <row r="71" spans="128:131" ht="15">
      <c r="DX71" s="307"/>
      <c r="DY71" s="307"/>
      <c r="DZ71" s="307"/>
      <c r="EA71" s="307"/>
    </row>
  </sheetData>
  <mergeCells count="19">
    <mergeCell ref="BF1:BJ1"/>
    <mergeCell ref="DS1:DW1"/>
    <mergeCell ref="EB1:EC1"/>
    <mergeCell ref="DX1:EA1"/>
    <mergeCell ref="BK1:BN1"/>
    <mergeCell ref="BO1:BP1"/>
    <mergeCell ref="CD1:CU1"/>
    <mergeCell ref="DA1:DR1"/>
    <mergeCell ref="BY1:CC1"/>
    <mergeCell ref="BQ1:BR1"/>
    <mergeCell ref="BS1:BX1"/>
    <mergeCell ref="CV1:CZ1"/>
    <mergeCell ref="A1:C1"/>
    <mergeCell ref="D1:E1"/>
    <mergeCell ref="Q1:AH1"/>
    <mergeCell ref="AN1:BE1"/>
    <mergeCell ref="F1:K1"/>
    <mergeCell ref="L1:P1"/>
    <mergeCell ref="AI1:AM1"/>
  </mergeCells>
  <phoneticPr fontId="13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83" r:id="rId4" name="Perskaiciuoti">
          <controlPr defaultSize="0" autoLine="0" r:id="rId5">
            <anchor moveWithCells="1">
              <from>
                <xdr:col>1</xdr:col>
                <xdr:colOff>38100</xdr:colOff>
                <xdr:row>52</xdr:row>
                <xdr:rowOff>38100</xdr:rowOff>
              </from>
              <to>
                <xdr:col>2</xdr:col>
                <xdr:colOff>133350</xdr:colOff>
                <xdr:row>55</xdr:row>
                <xdr:rowOff>152400</xdr:rowOff>
              </to>
            </anchor>
          </controlPr>
        </control>
      </mc:Choice>
      <mc:Fallback>
        <control shapeId="3083" r:id="rId4" name="Perskaiciuoti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39997558519241921"/>
  </sheetPr>
  <dimension ref="A1:O65"/>
  <sheetViews>
    <sheetView workbookViewId="0">
      <selection activeCell="F1" sqref="F1:M1048576"/>
    </sheetView>
  </sheetViews>
  <sheetFormatPr defaultRowHeight="12.75"/>
  <cols>
    <col min="1" max="1" width="1.85546875" customWidth="1"/>
    <col min="2" max="2" width="28.7109375" customWidth="1"/>
    <col min="3" max="3" width="33.7109375" customWidth="1"/>
    <col min="4" max="13" width="10.5703125" customWidth="1"/>
    <col min="14" max="24" width="0.85546875" customWidth="1"/>
    <col min="25" max="38" width="2.7109375" customWidth="1"/>
  </cols>
  <sheetData>
    <row r="1" spans="1:15" ht="15">
      <c r="A1" s="427"/>
      <c r="B1" s="428" t="s">
        <v>403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>
      <c r="A2" s="29"/>
      <c r="B2" s="63" t="str">
        <f>"Susirgimai piktybiniais navikais pagal diagnozuotos ligos stadijas (TNM sistema)  " &amp; GrafikaiSerg!A1 &amp; " m. Vyrai."</f>
        <v>Susirgimai piktybiniais navikais pagal diagnozuotos ligos stadijas (TNM sistema)  2015 m. Vyrai.</v>
      </c>
      <c r="C2" s="95"/>
      <c r="D2" s="63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A3" s="29"/>
      <c r="B3" s="57"/>
      <c r="C3" s="57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2.95" customHeight="1">
      <c r="A4" s="29"/>
      <c r="B4" s="524" t="s">
        <v>243</v>
      </c>
      <c r="C4" s="526" t="s">
        <v>244</v>
      </c>
      <c r="D4" s="530" t="s">
        <v>238</v>
      </c>
      <c r="E4" s="532"/>
      <c r="F4" s="528" t="s">
        <v>239</v>
      </c>
      <c r="G4" s="529"/>
      <c r="H4" s="530" t="s">
        <v>240</v>
      </c>
      <c r="I4" s="532"/>
      <c r="J4" s="528" t="s">
        <v>241</v>
      </c>
      <c r="K4" s="529"/>
      <c r="L4" s="530" t="s">
        <v>242</v>
      </c>
      <c r="M4" s="531"/>
      <c r="N4" s="29"/>
      <c r="O4" s="29"/>
    </row>
    <row r="5" spans="1:15" ht="12.95" customHeight="1" thickBot="1">
      <c r="A5" s="29"/>
      <c r="B5" s="525"/>
      <c r="C5" s="527"/>
      <c r="D5" s="160" t="s">
        <v>245</v>
      </c>
      <c r="E5" s="161" t="s">
        <v>246</v>
      </c>
      <c r="F5" s="162" t="s">
        <v>245</v>
      </c>
      <c r="G5" s="163" t="s">
        <v>246</v>
      </c>
      <c r="H5" s="160" t="s">
        <v>245</v>
      </c>
      <c r="I5" s="161" t="s">
        <v>246</v>
      </c>
      <c r="J5" s="162" t="s">
        <v>245</v>
      </c>
      <c r="K5" s="163" t="s">
        <v>246</v>
      </c>
      <c r="L5" s="160" t="s">
        <v>245</v>
      </c>
      <c r="M5" s="144" t="s">
        <v>246</v>
      </c>
      <c r="N5" s="29"/>
      <c r="O5" s="29"/>
    </row>
    <row r="6" spans="1:15" ht="12" customHeight="1" thickTop="1">
      <c r="A6" s="29"/>
      <c r="B6" s="129" t="str">
        <f>UPPER(LEFT(TRIM(Data!B5),1)) &amp; MID(TRIM(Data!B5),2,50)</f>
        <v>Piktybiniai navikai</v>
      </c>
      <c r="C6" s="129" t="str">
        <f>Data!C5</f>
        <v>C00-C96</v>
      </c>
      <c r="D6" s="155">
        <f>Data!G5</f>
        <v>1733</v>
      </c>
      <c r="E6" s="156">
        <f>IF(Data!$D5=0, 0, D6/Data!$D5)</f>
        <v>0.18596415924455414</v>
      </c>
      <c r="F6" s="157">
        <f>Data!H5</f>
        <v>1617</v>
      </c>
      <c r="G6" s="158">
        <f>IF(Data!$D5=0, 0, F6/Data!$D5)</f>
        <v>0.17351647172443396</v>
      </c>
      <c r="H6" s="155">
        <f>Data!I5</f>
        <v>1228</v>
      </c>
      <c r="I6" s="156">
        <f>IF(Data!$D5=0, 0, H6/Data!$D5)</f>
        <v>0.13177379547161713</v>
      </c>
      <c r="J6" s="157">
        <f>Data!J5</f>
        <v>1177</v>
      </c>
      <c r="K6" s="158">
        <f>IF(Data!$D5=0, 0, J6/Data!$D5)</f>
        <v>0.12630110526880567</v>
      </c>
      <c r="L6" s="155">
        <f>Data!K5</f>
        <v>3564</v>
      </c>
      <c r="M6" s="159">
        <f>IF(Data!$D5=0, 0, L6/Data!$D5)</f>
        <v>0.38244446829058915</v>
      </c>
      <c r="N6" s="29"/>
      <c r="O6" s="29"/>
    </row>
    <row r="7" spans="1:15" ht="12" customHeight="1">
      <c r="A7" s="29"/>
      <c r="B7" s="145" t="str">
        <f>UPPER(LEFT(TRIM(Data!B6),1)) &amp; MID(TRIM(Data!B6),2,50)</f>
        <v>Lūpos</v>
      </c>
      <c r="C7" s="145" t="str">
        <f>Data!C6</f>
        <v>C00</v>
      </c>
      <c r="D7" s="164">
        <f>Data!G6</f>
        <v>5</v>
      </c>
      <c r="E7" s="165">
        <f>IF(Data!$D6=0, 0, D7/Data!$D6)</f>
        <v>0.45454545454545453</v>
      </c>
      <c r="F7" s="166">
        <f>Data!H6</f>
        <v>0</v>
      </c>
      <c r="G7" s="167">
        <f>IF(Data!$D6=0, 0, F7/Data!$D6)</f>
        <v>0</v>
      </c>
      <c r="H7" s="164">
        <f>Data!I6</f>
        <v>1</v>
      </c>
      <c r="I7" s="165">
        <f>IF(Data!$D6=0, 0, H7/Data!$D6)</f>
        <v>9.0909090909090912E-2</v>
      </c>
      <c r="J7" s="166">
        <f>Data!J6</f>
        <v>2</v>
      </c>
      <c r="K7" s="167">
        <f>IF(Data!$D6=0, 0, J7/Data!$D6)</f>
        <v>0.18181818181818182</v>
      </c>
      <c r="L7" s="164">
        <f>Data!K6</f>
        <v>3</v>
      </c>
      <c r="M7" s="168">
        <f>IF(Data!$D6=0, 0, L7/Data!$D6)</f>
        <v>0.27272727272727271</v>
      </c>
      <c r="N7" s="29"/>
      <c r="O7" s="29"/>
    </row>
    <row r="8" spans="1:15" ht="12" customHeight="1">
      <c r="A8" s="29"/>
      <c r="B8" s="129" t="str">
        <f>UPPER(LEFT(TRIM(Data!B7),1)) &amp; MID(TRIM(Data!B7),2,50)</f>
        <v>Burnos ertmės ir ryklės</v>
      </c>
      <c r="C8" s="129" t="str">
        <f>Data!C7</f>
        <v>C01-C14</v>
      </c>
      <c r="D8" s="155">
        <f>Data!G7</f>
        <v>12</v>
      </c>
      <c r="E8" s="156">
        <f>IF(Data!$D7=0, 0, D8/Data!$D7)</f>
        <v>4.1095890410958902E-2</v>
      </c>
      <c r="F8" s="157">
        <f>Data!H7</f>
        <v>23</v>
      </c>
      <c r="G8" s="158">
        <f>IF(Data!$D7=0, 0, F8/Data!$D7)</f>
        <v>7.8767123287671229E-2</v>
      </c>
      <c r="H8" s="155">
        <f>Data!I7</f>
        <v>41</v>
      </c>
      <c r="I8" s="156">
        <f>IF(Data!$D7=0, 0, H8/Data!$D7)</f>
        <v>0.1404109589041096</v>
      </c>
      <c r="J8" s="157">
        <f>Data!J7</f>
        <v>124</v>
      </c>
      <c r="K8" s="158">
        <f>IF(Data!$D7=0, 0, J8/Data!$D7)</f>
        <v>0.42465753424657532</v>
      </c>
      <c r="L8" s="155">
        <f>Data!K7</f>
        <v>92</v>
      </c>
      <c r="M8" s="159">
        <f>IF(Data!$D7=0, 0, L8/Data!$D7)</f>
        <v>0.31506849315068491</v>
      </c>
      <c r="N8" s="29"/>
      <c r="O8" s="29"/>
    </row>
    <row r="9" spans="1:15" ht="12" customHeight="1">
      <c r="A9" s="29"/>
      <c r="B9" s="145" t="str">
        <f>UPPER(LEFT(TRIM(Data!B8),1)) &amp; MID(TRIM(Data!B8),2,50)</f>
        <v>Stemplės</v>
      </c>
      <c r="C9" s="145" t="str">
        <f>Data!C8</f>
        <v>C15</v>
      </c>
      <c r="D9" s="164">
        <f>Data!G8</f>
        <v>12</v>
      </c>
      <c r="E9" s="165">
        <f>IF(Data!$D8=0, 0, D9/Data!$D8)</f>
        <v>6.6666666666666666E-2</v>
      </c>
      <c r="F9" s="166">
        <f>Data!H8</f>
        <v>21</v>
      </c>
      <c r="G9" s="167">
        <f>IF(Data!$D8=0, 0, F9/Data!$D8)</f>
        <v>0.11666666666666667</v>
      </c>
      <c r="H9" s="164">
        <f>Data!I8</f>
        <v>29</v>
      </c>
      <c r="I9" s="165">
        <f>IF(Data!$D8=0, 0, H9/Data!$D8)</f>
        <v>0.16111111111111112</v>
      </c>
      <c r="J9" s="166">
        <f>Data!J8</f>
        <v>27</v>
      </c>
      <c r="K9" s="167">
        <f>IF(Data!$D8=0, 0, J9/Data!$D8)</f>
        <v>0.15</v>
      </c>
      <c r="L9" s="164">
        <f>Data!K8</f>
        <v>91</v>
      </c>
      <c r="M9" s="168">
        <f>IF(Data!$D8=0, 0, L9/Data!$D8)</f>
        <v>0.50555555555555554</v>
      </c>
      <c r="N9" s="29"/>
      <c r="O9" s="29"/>
    </row>
    <row r="10" spans="1:15" ht="12" customHeight="1">
      <c r="A10" s="29"/>
      <c r="B10" s="129" t="str">
        <f>UPPER(LEFT(TRIM(Data!B9),1)) &amp; MID(TRIM(Data!B9),2,50)</f>
        <v>Skrandžio</v>
      </c>
      <c r="C10" s="129" t="str">
        <f>Data!C9</f>
        <v>C16</v>
      </c>
      <c r="D10" s="155">
        <f>Data!G9</f>
        <v>51</v>
      </c>
      <c r="E10" s="156">
        <f>IF(Data!$D9=0, 0, D10/Data!$D9)</f>
        <v>0.10386965376782077</v>
      </c>
      <c r="F10" s="157">
        <f>Data!H9</f>
        <v>47</v>
      </c>
      <c r="G10" s="158">
        <f>IF(Data!$D9=0, 0, F10/Data!$D9)</f>
        <v>9.5723014256619138E-2</v>
      </c>
      <c r="H10" s="155">
        <f>Data!I9</f>
        <v>62</v>
      </c>
      <c r="I10" s="156">
        <f>IF(Data!$D9=0, 0, H10/Data!$D9)</f>
        <v>0.12627291242362526</v>
      </c>
      <c r="J10" s="157">
        <f>Data!J9</f>
        <v>108</v>
      </c>
      <c r="K10" s="158">
        <f>IF(Data!$D9=0, 0, J10/Data!$D9)</f>
        <v>0.21995926680244399</v>
      </c>
      <c r="L10" s="155">
        <f>Data!K9</f>
        <v>223</v>
      </c>
      <c r="M10" s="159">
        <f>IF(Data!$D9=0, 0, L10/Data!$D9)</f>
        <v>0.45417515274949083</v>
      </c>
      <c r="N10" s="29"/>
      <c r="O10" s="29"/>
    </row>
    <row r="11" spans="1:15" ht="12" customHeight="1">
      <c r="A11" s="29"/>
      <c r="B11" s="145" t="str">
        <f>UPPER(LEFT(TRIM(Data!B10),1)) &amp; MID(TRIM(Data!B10),2,50)</f>
        <v>Gaubtinės žarnos</v>
      </c>
      <c r="C11" s="145" t="str">
        <f>Data!C10</f>
        <v>C18</v>
      </c>
      <c r="D11" s="164">
        <f>Data!G10</f>
        <v>50</v>
      </c>
      <c r="E11" s="165">
        <f>IF(Data!$D10=0, 0, D11/Data!$D10)</f>
        <v>0.11876484560570071</v>
      </c>
      <c r="F11" s="166">
        <f>Data!H10</f>
        <v>99</v>
      </c>
      <c r="G11" s="167">
        <f>IF(Data!$D10=0, 0, F11/Data!$D10)</f>
        <v>0.23515439429928742</v>
      </c>
      <c r="H11" s="164">
        <f>Data!I10</f>
        <v>88</v>
      </c>
      <c r="I11" s="165">
        <f>IF(Data!$D10=0, 0, H11/Data!$D10)</f>
        <v>0.20902612826603326</v>
      </c>
      <c r="J11" s="166">
        <f>Data!J10</f>
        <v>73</v>
      </c>
      <c r="K11" s="167">
        <f>IF(Data!$D10=0, 0, J11/Data!$D10)</f>
        <v>0.17339667458432304</v>
      </c>
      <c r="L11" s="164">
        <f>Data!K10</f>
        <v>111</v>
      </c>
      <c r="M11" s="168">
        <f>IF(Data!$D10=0, 0, L11/Data!$D10)</f>
        <v>0.26365795724465557</v>
      </c>
      <c r="N11" s="29"/>
      <c r="O11" s="29"/>
    </row>
    <row r="12" spans="1:15" ht="12" customHeight="1">
      <c r="A12" s="29"/>
      <c r="B12" s="129" t="str">
        <f>UPPER(LEFT(TRIM(Data!B11),1)) &amp; MID(TRIM(Data!B11),2,50)</f>
        <v>Tiesiosios žarnos, išangės</v>
      </c>
      <c r="C12" s="129" t="str">
        <f>Data!C11</f>
        <v>C19-C21</v>
      </c>
      <c r="D12" s="155">
        <f>Data!G11</f>
        <v>43</v>
      </c>
      <c r="E12" s="156">
        <f>IF(Data!$D11=0, 0, D12/Data!$D11)</f>
        <v>0.12536443148688048</v>
      </c>
      <c r="F12" s="157">
        <f>Data!H11</f>
        <v>66</v>
      </c>
      <c r="G12" s="158">
        <f>IF(Data!$D11=0, 0, F12/Data!$D11)</f>
        <v>0.1924198250728863</v>
      </c>
      <c r="H12" s="155">
        <f>Data!I11</f>
        <v>86</v>
      </c>
      <c r="I12" s="156">
        <f>IF(Data!$D11=0, 0, H12/Data!$D11)</f>
        <v>0.25072886297376096</v>
      </c>
      <c r="J12" s="157">
        <f>Data!J11</f>
        <v>49</v>
      </c>
      <c r="K12" s="158">
        <f>IF(Data!$D11=0, 0, J12/Data!$D11)</f>
        <v>0.14285714285714285</v>
      </c>
      <c r="L12" s="155">
        <f>Data!K11</f>
        <v>99</v>
      </c>
      <c r="M12" s="159">
        <f>IF(Data!$D11=0, 0, L12/Data!$D11)</f>
        <v>0.28862973760932947</v>
      </c>
      <c r="N12" s="29"/>
      <c r="O12" s="29"/>
    </row>
    <row r="13" spans="1:15" ht="12" customHeight="1">
      <c r="A13" s="29"/>
      <c r="B13" s="145" t="str">
        <f>UPPER(LEFT(TRIM(Data!B12),1)) &amp; MID(TRIM(Data!B12),2,50)</f>
        <v>Kepenų</v>
      </c>
      <c r="C13" s="145" t="str">
        <f>Data!C12</f>
        <v>C22</v>
      </c>
      <c r="D13" s="164">
        <f>Data!G12</f>
        <v>5</v>
      </c>
      <c r="E13" s="165">
        <f>IF(Data!$D12=0, 0, D13/Data!$D12)</f>
        <v>3.5211267605633804E-2</v>
      </c>
      <c r="F13" s="166">
        <f>Data!H12</f>
        <v>15</v>
      </c>
      <c r="G13" s="167">
        <f>IF(Data!$D12=0, 0, F13/Data!$D12)</f>
        <v>0.10563380281690141</v>
      </c>
      <c r="H13" s="164">
        <f>Data!I12</f>
        <v>10</v>
      </c>
      <c r="I13" s="165">
        <f>IF(Data!$D12=0, 0, H13/Data!$D12)</f>
        <v>7.0422535211267609E-2</v>
      </c>
      <c r="J13" s="166">
        <f>Data!J12</f>
        <v>35</v>
      </c>
      <c r="K13" s="167">
        <f>IF(Data!$D12=0, 0, J13/Data!$D12)</f>
        <v>0.24647887323943662</v>
      </c>
      <c r="L13" s="164">
        <f>Data!K12</f>
        <v>77</v>
      </c>
      <c r="M13" s="168">
        <f>IF(Data!$D12=0, 0, L13/Data!$D12)</f>
        <v>0.54225352112676062</v>
      </c>
      <c r="N13" s="29"/>
      <c r="O13" s="29"/>
    </row>
    <row r="14" spans="1:15" ht="12" customHeight="1">
      <c r="A14" s="29"/>
      <c r="B14" s="129" t="str">
        <f>UPPER(LEFT(TRIM(Data!B13),1)) &amp; MID(TRIM(Data!B13),2,50)</f>
        <v>Tulžies pūslės, ekstrahepatinių takų</v>
      </c>
      <c r="C14" s="129" t="str">
        <f>Data!C13</f>
        <v>C23, C24</v>
      </c>
      <c r="D14" s="155">
        <f>Data!G13</f>
        <v>3</v>
      </c>
      <c r="E14" s="156">
        <f>IF(Data!$D13=0, 0, D14/Data!$D13)</f>
        <v>8.1081081081081086E-2</v>
      </c>
      <c r="F14" s="157">
        <f>Data!H13</f>
        <v>9</v>
      </c>
      <c r="G14" s="158">
        <f>IF(Data!$D13=0, 0, F14/Data!$D13)</f>
        <v>0.24324324324324326</v>
      </c>
      <c r="H14" s="155">
        <f>Data!I13</f>
        <v>5</v>
      </c>
      <c r="I14" s="156">
        <f>IF(Data!$D13=0, 0, H14/Data!$D13)</f>
        <v>0.13513513513513514</v>
      </c>
      <c r="J14" s="157">
        <f>Data!J13</f>
        <v>11</v>
      </c>
      <c r="K14" s="158">
        <f>IF(Data!$D13=0, 0, J14/Data!$D13)</f>
        <v>0.29729729729729731</v>
      </c>
      <c r="L14" s="155">
        <f>Data!K13</f>
        <v>9</v>
      </c>
      <c r="M14" s="159">
        <f>IF(Data!$D13=0, 0, L14/Data!$D13)</f>
        <v>0.24324324324324326</v>
      </c>
      <c r="N14" s="29"/>
      <c r="O14" s="29"/>
    </row>
    <row r="15" spans="1:15" ht="12" customHeight="1">
      <c r="A15" s="29"/>
      <c r="B15" s="145" t="str">
        <f>UPPER(LEFT(TRIM(Data!B14),1)) &amp; MID(TRIM(Data!B14),2,50)</f>
        <v>Kasos</v>
      </c>
      <c r="C15" s="145" t="str">
        <f>Data!C14</f>
        <v>C25</v>
      </c>
      <c r="D15" s="164">
        <f>Data!G14</f>
        <v>3</v>
      </c>
      <c r="E15" s="165">
        <f>IF(Data!$D14=0, 0, D15/Data!$D14)</f>
        <v>1.2295081967213115E-2</v>
      </c>
      <c r="F15" s="166">
        <f>Data!H14</f>
        <v>27</v>
      </c>
      <c r="G15" s="167">
        <f>IF(Data!$D14=0, 0, F15/Data!$D14)</f>
        <v>0.11065573770491803</v>
      </c>
      <c r="H15" s="164">
        <f>Data!I14</f>
        <v>20</v>
      </c>
      <c r="I15" s="165">
        <f>IF(Data!$D14=0, 0, H15/Data!$D14)</f>
        <v>8.1967213114754092E-2</v>
      </c>
      <c r="J15" s="166">
        <f>Data!J14</f>
        <v>90</v>
      </c>
      <c r="K15" s="167">
        <f>IF(Data!$D14=0, 0, J15/Data!$D14)</f>
        <v>0.36885245901639346</v>
      </c>
      <c r="L15" s="164">
        <f>Data!K14</f>
        <v>104</v>
      </c>
      <c r="M15" s="168">
        <f>IF(Data!$D14=0, 0, L15/Data!$D14)</f>
        <v>0.42622950819672129</v>
      </c>
      <c r="N15" s="29"/>
      <c r="O15" s="29"/>
    </row>
    <row r="16" spans="1:15" ht="12" customHeight="1">
      <c r="A16" s="29"/>
      <c r="B16" s="129" t="str">
        <f>UPPER(LEFT(TRIM(Data!B15),1)) &amp; MID(TRIM(Data!B15),2,50)</f>
        <v>Kitų virškinimo sistemos organų</v>
      </c>
      <c r="C16" s="129" t="str">
        <f>Data!C15</f>
        <v>C17, C26, C48</v>
      </c>
      <c r="D16" s="155">
        <f>Data!G15</f>
        <v>0</v>
      </c>
      <c r="E16" s="156">
        <f>IF(Data!$D15=0, 0, D16/Data!$D15)</f>
        <v>0</v>
      </c>
      <c r="F16" s="157">
        <f>Data!H15</f>
        <v>1</v>
      </c>
      <c r="G16" s="158">
        <f>IF(Data!$D15=0, 0, F16/Data!$D15)</f>
        <v>3.3333333333333333E-2</v>
      </c>
      <c r="H16" s="155">
        <f>Data!I15</f>
        <v>7</v>
      </c>
      <c r="I16" s="156">
        <f>IF(Data!$D15=0, 0, H16/Data!$D15)</f>
        <v>0.23333333333333334</v>
      </c>
      <c r="J16" s="157">
        <f>Data!J15</f>
        <v>5</v>
      </c>
      <c r="K16" s="158">
        <f>IF(Data!$D15=0, 0, J16/Data!$D15)</f>
        <v>0.16666666666666666</v>
      </c>
      <c r="L16" s="155">
        <f>Data!K15</f>
        <v>17</v>
      </c>
      <c r="M16" s="159">
        <f>IF(Data!$D15=0, 0, L16/Data!$D15)</f>
        <v>0.56666666666666665</v>
      </c>
      <c r="N16" s="29"/>
      <c r="O16" s="29"/>
    </row>
    <row r="17" spans="1:15" ht="12" customHeight="1">
      <c r="A17" s="29"/>
      <c r="B17" s="145" t="str">
        <f>UPPER(LEFT(TRIM(Data!B16),1)) &amp; MID(TRIM(Data!B16),2,50)</f>
        <v>Nosies ertmės, vid.ausies ir ančių</v>
      </c>
      <c r="C17" s="145" t="str">
        <f>Data!C16</f>
        <v>C30, C31</v>
      </c>
      <c r="D17" s="164">
        <f>Data!G16</f>
        <v>0</v>
      </c>
      <c r="E17" s="165">
        <f>IF(Data!$D16=0, 0, D17/Data!$D16)</f>
        <v>0</v>
      </c>
      <c r="F17" s="166">
        <f>Data!H16</f>
        <v>0</v>
      </c>
      <c r="G17" s="167">
        <f>IF(Data!$D16=0, 0, F17/Data!$D16)</f>
        <v>0</v>
      </c>
      <c r="H17" s="164">
        <f>Data!I16</f>
        <v>2</v>
      </c>
      <c r="I17" s="165">
        <f>IF(Data!$D16=0, 0, H17/Data!$D16)</f>
        <v>0.2857142857142857</v>
      </c>
      <c r="J17" s="166">
        <f>Data!J16</f>
        <v>3</v>
      </c>
      <c r="K17" s="167">
        <f>IF(Data!$D16=0, 0, J17/Data!$D16)</f>
        <v>0.42857142857142855</v>
      </c>
      <c r="L17" s="164">
        <f>Data!K16</f>
        <v>2</v>
      </c>
      <c r="M17" s="168">
        <f>IF(Data!$D16=0, 0, L17/Data!$D16)</f>
        <v>0.2857142857142857</v>
      </c>
      <c r="N17" s="29"/>
      <c r="O17" s="29"/>
    </row>
    <row r="18" spans="1:15" ht="12" customHeight="1">
      <c r="A18" s="29"/>
      <c r="B18" s="129" t="str">
        <f>UPPER(LEFT(TRIM(Data!B17),1)) &amp; MID(TRIM(Data!B17),2,50)</f>
        <v>Gerklų</v>
      </c>
      <c r="C18" s="129" t="str">
        <f>Data!C17</f>
        <v>C32</v>
      </c>
      <c r="D18" s="155">
        <f>Data!G17</f>
        <v>16</v>
      </c>
      <c r="E18" s="156">
        <f>IF(Data!$D17=0, 0, D18/Data!$D17)</f>
        <v>9.815950920245399E-2</v>
      </c>
      <c r="F18" s="157">
        <f>Data!H17</f>
        <v>25</v>
      </c>
      <c r="G18" s="158">
        <f>IF(Data!$D17=0, 0, F18/Data!$D17)</f>
        <v>0.15337423312883436</v>
      </c>
      <c r="H18" s="155">
        <f>Data!I17</f>
        <v>33</v>
      </c>
      <c r="I18" s="156">
        <f>IF(Data!$D17=0, 0, H18/Data!$D17)</f>
        <v>0.20245398773006135</v>
      </c>
      <c r="J18" s="157">
        <f>Data!J17</f>
        <v>49</v>
      </c>
      <c r="K18" s="158">
        <f>IF(Data!$D17=0, 0, J18/Data!$D17)</f>
        <v>0.30061349693251532</v>
      </c>
      <c r="L18" s="155">
        <f>Data!K17</f>
        <v>40</v>
      </c>
      <c r="M18" s="159">
        <f>IF(Data!$D17=0, 0, L18/Data!$D17)</f>
        <v>0.24539877300613497</v>
      </c>
      <c r="N18" s="29"/>
      <c r="O18" s="29"/>
    </row>
    <row r="19" spans="1:15" ht="12" customHeight="1">
      <c r="A19" s="29"/>
      <c r="B19" s="145" t="str">
        <f>UPPER(LEFT(TRIM(Data!B18),1)) &amp; MID(TRIM(Data!B18),2,50)</f>
        <v>Plaučių, trachėjos, bronchų</v>
      </c>
      <c r="C19" s="145" t="str">
        <f>Data!C18</f>
        <v>C33, C34</v>
      </c>
      <c r="D19" s="164">
        <f>Data!G18</f>
        <v>43</v>
      </c>
      <c r="E19" s="165">
        <f>IF(Data!$D18=0, 0, D19/Data!$D18)</f>
        <v>3.6104114189756509E-2</v>
      </c>
      <c r="F19" s="166">
        <f>Data!H18</f>
        <v>86</v>
      </c>
      <c r="G19" s="167">
        <f>IF(Data!$D18=0, 0, F19/Data!$D18)</f>
        <v>7.2208228379513018E-2</v>
      </c>
      <c r="H19" s="164">
        <f>Data!I18</f>
        <v>242</v>
      </c>
      <c r="I19" s="165">
        <f>IF(Data!$D18=0, 0, H19/Data!$D18)</f>
        <v>0.20319059613769941</v>
      </c>
      <c r="J19" s="166">
        <f>Data!J18</f>
        <v>284</v>
      </c>
      <c r="K19" s="167">
        <f>IF(Data!$D18=0, 0, J19/Data!$D18)</f>
        <v>0.23845507976490343</v>
      </c>
      <c r="L19" s="164">
        <f>Data!K18</f>
        <v>536</v>
      </c>
      <c r="M19" s="168">
        <f>IF(Data!$D18=0, 0, L19/Data!$D18)</f>
        <v>0.45004198152812763</v>
      </c>
      <c r="N19" s="29"/>
      <c r="O19" s="29"/>
    </row>
    <row r="20" spans="1:15" ht="12" customHeight="1">
      <c r="A20" s="29"/>
      <c r="B20" s="129" t="str">
        <f>UPPER(LEFT(TRIM(Data!B19),1)) &amp; MID(TRIM(Data!B19),2,50)</f>
        <v>Kitų kvėpavimo sistemos organų</v>
      </c>
      <c r="C20" s="129" t="str">
        <f>Data!C19</f>
        <v>C37-C39</v>
      </c>
      <c r="D20" s="155">
        <f>Data!G19</f>
        <v>0</v>
      </c>
      <c r="E20" s="156">
        <f>IF(Data!$D19=0, 0, D20/Data!$D19)</f>
        <v>0</v>
      </c>
      <c r="F20" s="157">
        <f>Data!H19</f>
        <v>0</v>
      </c>
      <c r="G20" s="158">
        <f>IF(Data!$D19=0, 0, F20/Data!$D19)</f>
        <v>0</v>
      </c>
      <c r="H20" s="155">
        <f>Data!I19</f>
        <v>1</v>
      </c>
      <c r="I20" s="156">
        <f>IF(Data!$D19=0, 0, H20/Data!$D19)</f>
        <v>8.3333333333333329E-2</v>
      </c>
      <c r="J20" s="157">
        <f>Data!J19</f>
        <v>0</v>
      </c>
      <c r="K20" s="158">
        <f>IF(Data!$D19=0, 0, J20/Data!$D19)</f>
        <v>0</v>
      </c>
      <c r="L20" s="155">
        <f>Data!K19</f>
        <v>11</v>
      </c>
      <c r="M20" s="159">
        <f>IF(Data!$D19=0, 0, L20/Data!$D19)</f>
        <v>0.91666666666666663</v>
      </c>
      <c r="N20" s="29"/>
      <c r="O20" s="29"/>
    </row>
    <row r="21" spans="1:15" ht="12" customHeight="1">
      <c r="A21" s="29"/>
      <c r="B21" s="145" t="str">
        <f>UPPER(LEFT(TRIM(Data!B20),1)) &amp; MID(TRIM(Data!B20),2,50)</f>
        <v>Kaulų ir jungiamojo audinio</v>
      </c>
      <c r="C21" s="145" t="str">
        <f>Data!C20</f>
        <v>C40-C41, C45-C47, C49</v>
      </c>
      <c r="D21" s="164">
        <f>Data!G20</f>
        <v>9</v>
      </c>
      <c r="E21" s="165">
        <f>IF(Data!$D20=0, 0, D21/Data!$D20)</f>
        <v>0.16981132075471697</v>
      </c>
      <c r="F21" s="166">
        <f>Data!H20</f>
        <v>9</v>
      </c>
      <c r="G21" s="167">
        <f>IF(Data!$D20=0, 0, F21/Data!$D20)</f>
        <v>0.16981132075471697</v>
      </c>
      <c r="H21" s="164">
        <f>Data!I20</f>
        <v>6</v>
      </c>
      <c r="I21" s="165">
        <f>IF(Data!$D20=0, 0, H21/Data!$D20)</f>
        <v>0.11320754716981132</v>
      </c>
      <c r="J21" s="166">
        <f>Data!J20</f>
        <v>7</v>
      </c>
      <c r="K21" s="167">
        <f>IF(Data!$D20=0, 0, J21/Data!$D20)</f>
        <v>0.13207547169811321</v>
      </c>
      <c r="L21" s="164">
        <f>Data!K20</f>
        <v>22</v>
      </c>
      <c r="M21" s="168">
        <f>IF(Data!$D20=0, 0, L21/Data!$D20)</f>
        <v>0.41509433962264153</v>
      </c>
      <c r="N21" s="29"/>
      <c r="O21" s="29"/>
    </row>
    <row r="22" spans="1:15" ht="12" customHeight="1">
      <c r="A22" s="29"/>
      <c r="B22" s="129" t="str">
        <f>UPPER(LEFT(TRIM(Data!B21),1)) &amp; MID(TRIM(Data!B21),2,50)</f>
        <v>Odos melanoma</v>
      </c>
      <c r="C22" s="129" t="str">
        <f>Data!C21</f>
        <v>C43</v>
      </c>
      <c r="D22" s="155">
        <f>Data!G21</f>
        <v>55</v>
      </c>
      <c r="E22" s="156">
        <f>IF(Data!$D21=0, 0, D22/Data!$D21)</f>
        <v>0.39568345323741005</v>
      </c>
      <c r="F22" s="157">
        <f>Data!H21</f>
        <v>50</v>
      </c>
      <c r="G22" s="158">
        <f>IF(Data!$D21=0, 0, F22/Data!$D21)</f>
        <v>0.35971223021582732</v>
      </c>
      <c r="H22" s="155">
        <f>Data!I21</f>
        <v>15</v>
      </c>
      <c r="I22" s="156">
        <f>IF(Data!$D21=0, 0, H22/Data!$D21)</f>
        <v>0.1079136690647482</v>
      </c>
      <c r="J22" s="157">
        <f>Data!J21</f>
        <v>5</v>
      </c>
      <c r="K22" s="158">
        <f>IF(Data!$D21=0, 0, J22/Data!$D21)</f>
        <v>3.5971223021582732E-2</v>
      </c>
      <c r="L22" s="155">
        <f>Data!K21</f>
        <v>14</v>
      </c>
      <c r="M22" s="159">
        <f>IF(Data!$D21=0, 0, L22/Data!$D21)</f>
        <v>0.10071942446043165</v>
      </c>
      <c r="N22" s="29"/>
      <c r="O22" s="29"/>
    </row>
    <row r="23" spans="1:15" ht="12" customHeight="1">
      <c r="A23" s="29"/>
      <c r="B23" s="145" t="str">
        <f>UPPER(LEFT(TRIM(Data!B22),1)) &amp; MID(TRIM(Data!B22),2,50)</f>
        <v>Kiti odos piktybiniai navikai</v>
      </c>
      <c r="C23" s="145" t="str">
        <f>Data!C22</f>
        <v>C44</v>
      </c>
      <c r="D23" s="164">
        <f>Data!G22</f>
        <v>531</v>
      </c>
      <c r="E23" s="165">
        <f>IF(Data!$D22=0, 0, D23/Data!$D22)</f>
        <v>0.64520048602673152</v>
      </c>
      <c r="F23" s="166">
        <f>Data!H22</f>
        <v>234</v>
      </c>
      <c r="G23" s="167">
        <f>IF(Data!$D22=0, 0, F23/Data!$D22)</f>
        <v>0.28432563791008503</v>
      </c>
      <c r="H23" s="164">
        <f>Data!I22</f>
        <v>8</v>
      </c>
      <c r="I23" s="165">
        <f>IF(Data!$D22=0, 0, H23/Data!$D22)</f>
        <v>9.7205346294046164E-3</v>
      </c>
      <c r="J23" s="166">
        <f>Data!J22</f>
        <v>4</v>
      </c>
      <c r="K23" s="167">
        <f>IF(Data!$D22=0, 0, J23/Data!$D22)</f>
        <v>4.8602673147023082E-3</v>
      </c>
      <c r="L23" s="164">
        <f>Data!K22</f>
        <v>46</v>
      </c>
      <c r="M23" s="168">
        <f>IF(Data!$D22=0, 0, L23/Data!$D22)</f>
        <v>5.5893074119076548E-2</v>
      </c>
      <c r="N23" s="29"/>
      <c r="O23" s="29"/>
    </row>
    <row r="24" spans="1:15" ht="12" customHeight="1">
      <c r="A24" s="29"/>
      <c r="B24" s="129" t="str">
        <f>UPPER(LEFT(TRIM(Data!B23),1)) &amp; MID(TRIM(Data!B23),2,50)</f>
        <v>Krūties</v>
      </c>
      <c r="C24" s="129" t="str">
        <f>Data!C23</f>
        <v>C50</v>
      </c>
      <c r="D24" s="155">
        <f>Data!G23</f>
        <v>3</v>
      </c>
      <c r="E24" s="156">
        <f>IF(Data!$D23=0, 0, D24/Data!$D23)</f>
        <v>0.375</v>
      </c>
      <c r="F24" s="157">
        <f>Data!H23</f>
        <v>2</v>
      </c>
      <c r="G24" s="158">
        <f>IF(Data!$D23=0, 0, F24/Data!$D23)</f>
        <v>0.25</v>
      </c>
      <c r="H24" s="155">
        <f>Data!I23</f>
        <v>1</v>
      </c>
      <c r="I24" s="156">
        <f>IF(Data!$D23=0, 0, H24/Data!$D23)</f>
        <v>0.125</v>
      </c>
      <c r="J24" s="157">
        <f>Data!J23</f>
        <v>0</v>
      </c>
      <c r="K24" s="158">
        <f>IF(Data!$D23=0, 0, J24/Data!$D23)</f>
        <v>0</v>
      </c>
      <c r="L24" s="155">
        <f>Data!K23</f>
        <v>2</v>
      </c>
      <c r="M24" s="159">
        <f>IF(Data!$D23=0, 0, L24/Data!$D23)</f>
        <v>0.25</v>
      </c>
      <c r="N24" s="29"/>
      <c r="O24" s="29"/>
    </row>
    <row r="25" spans="1:15" ht="12" customHeight="1">
      <c r="A25" s="29"/>
      <c r="B25" s="145" t="str">
        <f>UPPER(LEFT(TRIM(Data!B28),1)) &amp; MID(TRIM(Data!B28),2,50)</f>
        <v>Priešinės liaukos</v>
      </c>
      <c r="C25" s="145" t="str">
        <f>Data!C28</f>
        <v>C61</v>
      </c>
      <c r="D25" s="164">
        <f>Data!G28</f>
        <v>534</v>
      </c>
      <c r="E25" s="165">
        <f>IF(Data!$D28=0, 0, D25/Data!$D28)</f>
        <v>0.17997977755308392</v>
      </c>
      <c r="F25" s="166">
        <f>Data!H28</f>
        <v>796</v>
      </c>
      <c r="G25" s="167">
        <f>IF(Data!$D28=0, 0, F25/Data!$D28)</f>
        <v>0.2682844624199528</v>
      </c>
      <c r="H25" s="164">
        <f>Data!I28</f>
        <v>437</v>
      </c>
      <c r="I25" s="165">
        <f>IF(Data!$D28=0, 0, H25/Data!$D28)</f>
        <v>0.14728682170542637</v>
      </c>
      <c r="J25" s="166">
        <f>Data!J28</f>
        <v>96</v>
      </c>
      <c r="K25" s="167">
        <f>IF(Data!$D28=0, 0, J25/Data!$D28)</f>
        <v>3.2355915065722954E-2</v>
      </c>
      <c r="L25" s="164">
        <f>Data!K28</f>
        <v>1104</v>
      </c>
      <c r="M25" s="168">
        <f>IF(Data!$D28=0, 0, L25/Data!$D28)</f>
        <v>0.37209302325581395</v>
      </c>
      <c r="N25" s="29"/>
      <c r="O25" s="29"/>
    </row>
    <row r="26" spans="1:15" ht="12" customHeight="1">
      <c r="A26" s="29"/>
      <c r="B26" s="129" t="str">
        <f>UPPER(LEFT(TRIM(Data!B29),1)) &amp; MID(TRIM(Data!B29),2,50)</f>
        <v>Sėklidžių</v>
      </c>
      <c r="C26" s="129" t="str">
        <f>Data!C29</f>
        <v>C62</v>
      </c>
      <c r="D26" s="155">
        <f>Data!G29</f>
        <v>18</v>
      </c>
      <c r="E26" s="156">
        <f>IF(Data!$D29=0, 0, D26/Data!$D29)</f>
        <v>0.62068965517241381</v>
      </c>
      <c r="F26" s="157">
        <f>Data!H29</f>
        <v>3</v>
      </c>
      <c r="G26" s="158">
        <f>IF(Data!$D29=0, 0, F26/Data!$D29)</f>
        <v>0.10344827586206896</v>
      </c>
      <c r="H26" s="155">
        <f>Data!I29</f>
        <v>6</v>
      </c>
      <c r="I26" s="156">
        <f>IF(Data!$D29=0, 0, H26/Data!$D29)</f>
        <v>0.20689655172413793</v>
      </c>
      <c r="J26" s="157">
        <f>Data!J29</f>
        <v>0</v>
      </c>
      <c r="K26" s="158">
        <f>IF(Data!$D29=0, 0, J26/Data!$D29)</f>
        <v>0</v>
      </c>
      <c r="L26" s="155">
        <f>Data!K29</f>
        <v>2</v>
      </c>
      <c r="M26" s="159">
        <f>IF(Data!$D29=0, 0, L26/Data!$D29)</f>
        <v>6.8965517241379309E-2</v>
      </c>
      <c r="N26" s="29"/>
      <c r="O26" s="29"/>
    </row>
    <row r="27" spans="1:15" ht="12" customHeight="1">
      <c r="A27" s="29"/>
      <c r="B27" s="145" t="str">
        <f>UPPER(LEFT(TRIM(Data!B30),1)) &amp; MID(TRIM(Data!B30),2,50)</f>
        <v>Kitų lyties organų</v>
      </c>
      <c r="C27" s="145" t="s">
        <v>417</v>
      </c>
      <c r="D27" s="164">
        <f>Data!G30</f>
        <v>5</v>
      </c>
      <c r="E27" s="165">
        <f>IF(Data!$D30=0, 0, D27/Data!$D30)</f>
        <v>0.21739130434782608</v>
      </c>
      <c r="F27" s="166">
        <f>Data!H30</f>
        <v>10</v>
      </c>
      <c r="G27" s="167">
        <f>IF(Data!$D30=0, 0, F27/Data!$D30)</f>
        <v>0.43478260869565216</v>
      </c>
      <c r="H27" s="164">
        <f>Data!I30</f>
        <v>2</v>
      </c>
      <c r="I27" s="165">
        <f>IF(Data!$D30=0, 0, H27/Data!$D30)</f>
        <v>8.6956521739130432E-2</v>
      </c>
      <c r="J27" s="166">
        <f>Data!J30</f>
        <v>3</v>
      </c>
      <c r="K27" s="167">
        <f>IF(Data!$D30=0, 0, J27/Data!$D30)</f>
        <v>0.13043478260869565</v>
      </c>
      <c r="L27" s="164">
        <f>Data!K30</f>
        <v>3</v>
      </c>
      <c r="M27" s="168">
        <f>IF(Data!$D30=0, 0, L27/Data!$D30)</f>
        <v>0.13043478260869565</v>
      </c>
      <c r="N27" s="29"/>
      <c r="O27" s="29"/>
    </row>
    <row r="28" spans="1:15" ht="12" customHeight="1">
      <c r="A28" s="29"/>
      <c r="B28" s="129" t="str">
        <f>UPPER(LEFT(TRIM(Data!B31),1)) &amp; MID(TRIM(Data!B31),2,50)</f>
        <v>Inkstų</v>
      </c>
      <c r="C28" s="129" t="str">
        <f>Data!C31</f>
        <v>C64</v>
      </c>
      <c r="D28" s="155">
        <f>Data!G31</f>
        <v>185</v>
      </c>
      <c r="E28" s="156">
        <f>IF(Data!$D31=0, 0, D28/Data!$D31)</f>
        <v>0.4243119266055046</v>
      </c>
      <c r="F28" s="157">
        <f>Data!H31</f>
        <v>20</v>
      </c>
      <c r="G28" s="158">
        <f>IF(Data!$D31=0, 0, F28/Data!$D31)</f>
        <v>4.5871559633027525E-2</v>
      </c>
      <c r="H28" s="155">
        <f>Data!I31</f>
        <v>87</v>
      </c>
      <c r="I28" s="156">
        <f>IF(Data!$D31=0, 0, H28/Data!$D31)</f>
        <v>0.19954128440366972</v>
      </c>
      <c r="J28" s="157">
        <f>Data!J31</f>
        <v>68</v>
      </c>
      <c r="K28" s="158">
        <f>IF(Data!$D31=0, 0, J28/Data!$D31)</f>
        <v>0.15596330275229359</v>
      </c>
      <c r="L28" s="155">
        <f>Data!K31</f>
        <v>76</v>
      </c>
      <c r="M28" s="159">
        <f>IF(Data!$D31=0, 0, L28/Data!$D31)</f>
        <v>0.1743119266055046</v>
      </c>
      <c r="N28" s="29"/>
      <c r="O28" s="29"/>
    </row>
    <row r="29" spans="1:15" ht="12" customHeight="1">
      <c r="A29" s="29"/>
      <c r="B29" s="145" t="str">
        <f>UPPER(LEFT(TRIM(Data!B32),1)) &amp; MID(TRIM(Data!B32),2,50)</f>
        <v>Šlapimo pūslės</v>
      </c>
      <c r="C29" s="145" t="str">
        <f>Data!C32</f>
        <v>C67</v>
      </c>
      <c r="D29" s="164">
        <f>Data!G32</f>
        <v>116</v>
      </c>
      <c r="E29" s="165">
        <f>IF(Data!$D32=0, 0, D29/Data!$D32)</f>
        <v>0.38666666666666666</v>
      </c>
      <c r="F29" s="166">
        <f>Data!H32</f>
        <v>60</v>
      </c>
      <c r="G29" s="167">
        <f>IF(Data!$D32=0, 0, F29/Data!$D32)</f>
        <v>0.2</v>
      </c>
      <c r="H29" s="164">
        <f>Data!I32</f>
        <v>17</v>
      </c>
      <c r="I29" s="165">
        <f>IF(Data!$D32=0, 0, H29/Data!$D32)</f>
        <v>5.6666666666666664E-2</v>
      </c>
      <c r="J29" s="166">
        <f>Data!J32</f>
        <v>16</v>
      </c>
      <c r="K29" s="167">
        <f>IF(Data!$D32=0, 0, J29/Data!$D32)</f>
        <v>5.3333333333333337E-2</v>
      </c>
      <c r="L29" s="164">
        <f>Data!K32</f>
        <v>91</v>
      </c>
      <c r="M29" s="168">
        <f>IF(Data!$D32=0, 0, L29/Data!$D32)</f>
        <v>0.30333333333333334</v>
      </c>
      <c r="N29" s="29"/>
      <c r="O29" s="29"/>
    </row>
    <row r="30" spans="1:15" ht="12" customHeight="1">
      <c r="A30" s="29"/>
      <c r="B30" s="129" t="str">
        <f>UPPER(LEFT(TRIM(Data!B33),1)) &amp; MID(TRIM(Data!B33),2,50)</f>
        <v>Kitų šlapimą išskiriančių organų</v>
      </c>
      <c r="C30" s="129" t="str">
        <f>Data!C33</f>
        <v>C65, C66, C68</v>
      </c>
      <c r="D30" s="155">
        <f>Data!G33</f>
        <v>3</v>
      </c>
      <c r="E30" s="156">
        <f>IF(Data!$D33=0, 0, D30/Data!$D33)</f>
        <v>0.16666666666666666</v>
      </c>
      <c r="F30" s="157">
        <f>Data!H33</f>
        <v>1</v>
      </c>
      <c r="G30" s="158">
        <f>IF(Data!$D33=0, 0, F30/Data!$D33)</f>
        <v>5.5555555555555552E-2</v>
      </c>
      <c r="H30" s="155">
        <f>Data!I33</f>
        <v>4</v>
      </c>
      <c r="I30" s="156">
        <f>IF(Data!$D33=0, 0, H30/Data!$D33)</f>
        <v>0.22222222222222221</v>
      </c>
      <c r="J30" s="157">
        <f>Data!J33</f>
        <v>5</v>
      </c>
      <c r="K30" s="158">
        <f>IF(Data!$D33=0, 0, J30/Data!$D33)</f>
        <v>0.27777777777777779</v>
      </c>
      <c r="L30" s="155">
        <f>Data!K33</f>
        <v>5</v>
      </c>
      <c r="M30" s="159">
        <f>IF(Data!$D33=0, 0, L30/Data!$D33)</f>
        <v>0.27777777777777779</v>
      </c>
      <c r="N30" s="29"/>
      <c r="O30" s="29"/>
    </row>
    <row r="31" spans="1:15" ht="12" customHeight="1">
      <c r="A31" s="29"/>
      <c r="B31" s="145" t="str">
        <f>UPPER(LEFT(TRIM(Data!B34),1)) &amp; MID(TRIM(Data!B34),2,50)</f>
        <v>Akių</v>
      </c>
      <c r="C31" s="145" t="str">
        <f>Data!C34</f>
        <v>C69</v>
      </c>
      <c r="D31" s="164">
        <f>Data!G34</f>
        <v>1</v>
      </c>
      <c r="E31" s="165">
        <f>IF(Data!$D34=0, 0, D31/Data!$D34)</f>
        <v>7.6923076923076927E-2</v>
      </c>
      <c r="F31" s="166">
        <f>Data!H34</f>
        <v>7</v>
      </c>
      <c r="G31" s="167">
        <f>IF(Data!$D34=0, 0, F31/Data!$D34)</f>
        <v>0.53846153846153844</v>
      </c>
      <c r="H31" s="164">
        <f>Data!I34</f>
        <v>3</v>
      </c>
      <c r="I31" s="165">
        <f>IF(Data!$D34=0, 0, H31/Data!$D34)</f>
        <v>0.23076923076923078</v>
      </c>
      <c r="J31" s="166">
        <f>Data!J34</f>
        <v>0</v>
      </c>
      <c r="K31" s="167">
        <f>IF(Data!$D34=0, 0, J31/Data!$D34)</f>
        <v>0</v>
      </c>
      <c r="L31" s="164">
        <f>Data!K34</f>
        <v>2</v>
      </c>
      <c r="M31" s="168">
        <f>IF(Data!$D34=0, 0, L31/Data!$D34)</f>
        <v>0.15384615384615385</v>
      </c>
      <c r="N31" s="29"/>
      <c r="O31" s="29"/>
    </row>
    <row r="32" spans="1:15" ht="12" customHeight="1">
      <c r="A32" s="29"/>
      <c r="B32" s="129" t="str">
        <f>UPPER(LEFT(TRIM(Data!B35),1)) &amp; MID(TRIM(Data!B35),2,50)</f>
        <v>Smegenų</v>
      </c>
      <c r="C32" s="129" t="str">
        <f>Data!C35</f>
        <v>C70-C72</v>
      </c>
      <c r="D32" s="155">
        <f>Data!G35</f>
        <v>0</v>
      </c>
      <c r="E32" s="156">
        <f>IF(Data!$D35=0, 0, D32/Data!$D35)</f>
        <v>0</v>
      </c>
      <c r="F32" s="157">
        <f>Data!H35</f>
        <v>0</v>
      </c>
      <c r="G32" s="158">
        <f>IF(Data!$D35=0, 0, F32/Data!$D35)</f>
        <v>0</v>
      </c>
      <c r="H32" s="155">
        <f>Data!I35</f>
        <v>0</v>
      </c>
      <c r="I32" s="156">
        <f>IF(Data!$D35=0, 0, H32/Data!$D35)</f>
        <v>0</v>
      </c>
      <c r="J32" s="157">
        <f>Data!J35</f>
        <v>0</v>
      </c>
      <c r="K32" s="158">
        <f>IF(Data!$D35=0, 0, J32/Data!$D35)</f>
        <v>0</v>
      </c>
      <c r="L32" s="155">
        <f>Data!K35</f>
        <v>129</v>
      </c>
      <c r="M32" s="159">
        <f>IF(Data!$D35=0, 0, L32/Data!$D35)</f>
        <v>1</v>
      </c>
      <c r="N32" s="29"/>
      <c r="O32" s="29"/>
    </row>
    <row r="33" spans="1:15" ht="12" customHeight="1">
      <c r="A33" s="29"/>
      <c r="B33" s="145" t="str">
        <f>UPPER(LEFT(TRIM(Data!B36),1)) &amp; MID(TRIM(Data!B36),2,50)</f>
        <v>Skydliaukės</v>
      </c>
      <c r="C33" s="145" t="str">
        <f>Data!C36</f>
        <v>C73</v>
      </c>
      <c r="D33" s="164">
        <f>Data!G36</f>
        <v>30</v>
      </c>
      <c r="E33" s="165">
        <f>IF(Data!$D36=0, 0, D33/Data!$D36)</f>
        <v>0.4838709677419355</v>
      </c>
      <c r="F33" s="166">
        <f>Data!H36</f>
        <v>6</v>
      </c>
      <c r="G33" s="167">
        <f>IF(Data!$D36=0, 0, F33/Data!$D36)</f>
        <v>9.6774193548387094E-2</v>
      </c>
      <c r="H33" s="164">
        <f>Data!I36</f>
        <v>15</v>
      </c>
      <c r="I33" s="165">
        <f>IF(Data!$D36=0, 0, H33/Data!$D36)</f>
        <v>0.24193548387096775</v>
      </c>
      <c r="J33" s="166">
        <f>Data!J36</f>
        <v>6</v>
      </c>
      <c r="K33" s="167">
        <f>IF(Data!$D36=0, 0, J33/Data!$D36)</f>
        <v>9.6774193548387094E-2</v>
      </c>
      <c r="L33" s="164">
        <f>Data!K36</f>
        <v>5</v>
      </c>
      <c r="M33" s="168">
        <f>IF(Data!$D36=0, 0, L33/Data!$D36)</f>
        <v>8.0645161290322578E-2</v>
      </c>
      <c r="N33" s="29"/>
      <c r="O33" s="29"/>
    </row>
    <row r="34" spans="1:15" ht="12" customHeight="1">
      <c r="A34" s="29"/>
      <c r="B34" s="129" t="str">
        <f>UPPER(LEFT(TRIM(Data!B37),1)) &amp; MID(TRIM(Data!B37),2,50)</f>
        <v>Kitų endokrininių liaukų</v>
      </c>
      <c r="C34" s="129" t="str">
        <f>Data!C37</f>
        <v>C74-C75</v>
      </c>
      <c r="D34" s="155">
        <f>Data!G37</f>
        <v>0</v>
      </c>
      <c r="E34" s="156">
        <f>IF(Data!$D37=0, 0, D34/Data!$D37)</f>
        <v>0</v>
      </c>
      <c r="F34" s="157">
        <f>Data!H37</f>
        <v>0</v>
      </c>
      <c r="G34" s="158">
        <f>IF(Data!$D37=0, 0, F34/Data!$D37)</f>
        <v>0</v>
      </c>
      <c r="H34" s="155">
        <f>Data!I37</f>
        <v>0</v>
      </c>
      <c r="I34" s="156">
        <f>IF(Data!$D37=0, 0, H34/Data!$D37)</f>
        <v>0</v>
      </c>
      <c r="J34" s="157">
        <f>Data!J37</f>
        <v>6</v>
      </c>
      <c r="K34" s="158">
        <f>IF(Data!$D37=0, 0, J34/Data!$D37)</f>
        <v>0.46153846153846156</v>
      </c>
      <c r="L34" s="155">
        <f>Data!K37</f>
        <v>7</v>
      </c>
      <c r="M34" s="159">
        <f>IF(Data!$D37=0, 0, L34/Data!$D37)</f>
        <v>0.53846153846153844</v>
      </c>
      <c r="N34" s="29"/>
      <c r="O34" s="29"/>
    </row>
    <row r="35" spans="1:15" ht="12" customHeight="1">
      <c r="A35" s="29"/>
      <c r="B35" s="145" t="str">
        <f>UPPER(LEFT(TRIM(Data!B38),1)) &amp; MID(TRIM(Data!B38),2,50)</f>
        <v>Nepatikslintos lokalizacijos</v>
      </c>
      <c r="C35" s="145" t="str">
        <f>Data!C38</f>
        <v>C76-C80</v>
      </c>
      <c r="D35" s="164">
        <f>Data!G38</f>
        <v>0</v>
      </c>
      <c r="E35" s="165">
        <f>IF(Data!$D38=0, 0, D35/Data!$D38)</f>
        <v>0</v>
      </c>
      <c r="F35" s="166">
        <f>Data!H38</f>
        <v>0</v>
      </c>
      <c r="G35" s="167">
        <f>IF(Data!$D38=0, 0, F35/Data!$D38)</f>
        <v>0</v>
      </c>
      <c r="H35" s="164">
        <f>Data!I38</f>
        <v>0</v>
      </c>
      <c r="I35" s="165">
        <f>IF(Data!$D38=0, 0, H35/Data!$D38)</f>
        <v>0</v>
      </c>
      <c r="J35" s="166">
        <f>Data!J38</f>
        <v>101</v>
      </c>
      <c r="K35" s="167">
        <f>IF(Data!$D38=0, 0, J35/Data!$D38)</f>
        <v>0.44493392070484583</v>
      </c>
      <c r="L35" s="164">
        <f>Data!K38</f>
        <v>126</v>
      </c>
      <c r="M35" s="168">
        <f>IF(Data!$D38=0, 0, L35/Data!$D38)</f>
        <v>0.55506607929515417</v>
      </c>
      <c r="N35" s="29"/>
      <c r="O35" s="29"/>
    </row>
    <row r="36" spans="1:15" ht="6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ht="6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ht="6" customHeight="1"/>
    <row r="39" spans="1:15" ht="6" customHeight="1"/>
    <row r="40" spans="1:15" ht="6" customHeight="1"/>
    <row r="41" spans="1:15" ht="6" customHeight="1"/>
    <row r="42" spans="1:15" ht="6" customHeight="1"/>
    <row r="43" spans="1:15" ht="6" customHeight="1"/>
    <row r="44" spans="1:15" ht="6" customHeight="1"/>
    <row r="45" spans="1:15" ht="6" customHeight="1"/>
    <row r="46" spans="1:15" ht="6" customHeight="1"/>
    <row r="47" spans="1:15" ht="6" customHeight="1"/>
    <row r="48" spans="1:15" ht="6" customHeight="1"/>
    <row r="49" ht="6" customHeight="1"/>
    <row r="50" ht="6" customHeight="1"/>
    <row r="51" ht="6" customHeight="1"/>
    <row r="52" ht="6" customHeight="1"/>
    <row r="53" ht="6" customHeight="1"/>
    <row r="54" ht="6" customHeight="1"/>
    <row r="55" ht="6" customHeight="1"/>
    <row r="56" ht="6" customHeight="1"/>
    <row r="57" ht="6" customHeight="1"/>
    <row r="58" ht="6" customHeight="1"/>
    <row r="59" ht="6" customHeight="1"/>
    <row r="60" ht="6" customHeight="1"/>
    <row r="61" ht="6" customHeight="1"/>
    <row r="62" ht="6" customHeight="1"/>
    <row r="63" ht="6" customHeight="1"/>
    <row r="64" ht="6" customHeight="1"/>
    <row r="65" ht="6" customHeight="1"/>
  </sheetData>
  <mergeCells count="7">
    <mergeCell ref="B4:B5"/>
    <mergeCell ref="C4:C5"/>
    <mergeCell ref="J4:K4"/>
    <mergeCell ref="L4:M4"/>
    <mergeCell ref="D4:E4"/>
    <mergeCell ref="F4:G4"/>
    <mergeCell ref="H4:I4"/>
  </mergeCells>
  <phoneticPr fontId="13" type="noConversion"/>
  <pageMargins left="0.59055118110236215" right="0.62992125984251968" top="1.5748031496062993" bottom="1.9685039370078741" header="0" footer="0"/>
  <pageSetup paperSize="9" orientation="portrait" r:id="rId1"/>
  <headerFooter alignWithMargins="0"/>
  <ignoredErrors>
    <ignoredError sqref="L6 J6 F6 D6 H6 F7:F8 H7 J7 L7 F9:F24 H8:H24 J8:J24 L8:L24 F25:F35 H25:H35 J25:J35 L25:L3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6" tint="0.39997558519241921"/>
  </sheetPr>
  <dimension ref="A1:O39"/>
  <sheetViews>
    <sheetView workbookViewId="0">
      <selection activeCell="F1" sqref="F1:M1048576"/>
    </sheetView>
  </sheetViews>
  <sheetFormatPr defaultRowHeight="12.75"/>
  <cols>
    <col min="1" max="1" width="1.85546875" customWidth="1"/>
    <col min="2" max="2" width="28.7109375" customWidth="1"/>
    <col min="3" max="3" width="33.7109375" customWidth="1"/>
    <col min="4" max="13" width="10.5703125" customWidth="1"/>
    <col min="14" max="20" width="0.85546875" customWidth="1"/>
    <col min="21" max="39" width="1.7109375" customWidth="1"/>
  </cols>
  <sheetData>
    <row r="1" spans="1:15" ht="15">
      <c r="A1" s="429"/>
      <c r="B1" s="430" t="s">
        <v>403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>
      <c r="A2" s="65"/>
      <c r="B2" s="70" t="str">
        <f>"Susirgimai piktybiniais navikais pagal diagnozuotos ligos stadijas (TNM sistema)  " &amp; GrafikaiSerg!A1 &amp; " m. Moterys."</f>
        <v>Susirgimai piktybiniais navikais pagal diagnozuotos ligos stadijas (TNM sistema)  2015 m. Moterys.</v>
      </c>
      <c r="C2" s="69"/>
      <c r="D2" s="70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>
      <c r="A3" s="65"/>
      <c r="B3" s="69"/>
      <c r="C3" s="69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2.95" customHeight="1">
      <c r="A4" s="65"/>
      <c r="B4" s="524" t="s">
        <v>243</v>
      </c>
      <c r="C4" s="526" t="s">
        <v>244</v>
      </c>
      <c r="D4" s="530" t="s">
        <v>238</v>
      </c>
      <c r="E4" s="532"/>
      <c r="F4" s="528" t="s">
        <v>239</v>
      </c>
      <c r="G4" s="529"/>
      <c r="H4" s="530" t="s">
        <v>240</v>
      </c>
      <c r="I4" s="532"/>
      <c r="J4" s="528" t="s">
        <v>241</v>
      </c>
      <c r="K4" s="529"/>
      <c r="L4" s="530" t="s">
        <v>242</v>
      </c>
      <c r="M4" s="531"/>
      <c r="N4" s="65"/>
      <c r="O4" s="65"/>
    </row>
    <row r="5" spans="1:15" ht="12.95" customHeight="1" thickBot="1">
      <c r="A5" s="65"/>
      <c r="B5" s="525"/>
      <c r="C5" s="527"/>
      <c r="D5" s="160" t="s">
        <v>245</v>
      </c>
      <c r="E5" s="161" t="s">
        <v>246</v>
      </c>
      <c r="F5" s="162" t="s">
        <v>245</v>
      </c>
      <c r="G5" s="163" t="s">
        <v>246</v>
      </c>
      <c r="H5" s="160" t="s">
        <v>245</v>
      </c>
      <c r="I5" s="161" t="s">
        <v>246</v>
      </c>
      <c r="J5" s="162" t="s">
        <v>245</v>
      </c>
      <c r="K5" s="163" t="s">
        <v>246</v>
      </c>
      <c r="L5" s="160" t="s">
        <v>245</v>
      </c>
      <c r="M5" s="144" t="s">
        <v>246</v>
      </c>
      <c r="N5" s="65"/>
      <c r="O5" s="65"/>
    </row>
    <row r="6" spans="1:15" ht="12" customHeight="1" thickTop="1">
      <c r="A6" s="65"/>
      <c r="B6" s="129" t="str">
        <f>UPPER(LEFT(TRIM(Data!B5),1)) &amp; MID(TRIM(Data!B5),2,50)</f>
        <v>Piktybiniai navikai</v>
      </c>
      <c r="C6" s="129" t="str">
        <f>Data!C5</f>
        <v>C00-C96</v>
      </c>
      <c r="D6" s="155">
        <f>Data!BT5</f>
        <v>2743</v>
      </c>
      <c r="E6" s="156">
        <f>IF(Data!$BQ5=0, 0, D6/Data!$BQ5)</f>
        <v>0.32697580164501133</v>
      </c>
      <c r="F6" s="157">
        <f>Data!BU5</f>
        <v>1449</v>
      </c>
      <c r="G6" s="156">
        <f>IF(Data!$BQ5=0, 0, F6/Data!$BQ5)</f>
        <v>0.17272618905709858</v>
      </c>
      <c r="H6" s="155">
        <f>Data!BV5</f>
        <v>1082</v>
      </c>
      <c r="I6" s="156">
        <f>IF(Data!$BQ5=0, 0, H6/Data!$BQ5)</f>
        <v>0.12897842412683275</v>
      </c>
      <c r="J6" s="157">
        <f>Data!BW5</f>
        <v>827</v>
      </c>
      <c r="K6" s="158">
        <f>IF(Data!$BQ5=0, 0, J6/Data!$BQ5)</f>
        <v>9.8581475742043151E-2</v>
      </c>
      <c r="L6" s="155">
        <f>Data!BX5</f>
        <v>2288</v>
      </c>
      <c r="M6" s="159">
        <f>IF(Data!$BQ5=0, 0, L6/Data!$BQ5)</f>
        <v>0.27273810942901416</v>
      </c>
      <c r="N6" s="65"/>
      <c r="O6" s="65"/>
    </row>
    <row r="7" spans="1:15" ht="12" customHeight="1">
      <c r="A7" s="65"/>
      <c r="B7" s="145" t="str">
        <f>UPPER(LEFT(TRIM(Data!B6),1)) &amp; MID(TRIM(Data!B6),2,50)</f>
        <v>Lūpos</v>
      </c>
      <c r="C7" s="145" t="str">
        <f>Data!C6</f>
        <v>C00</v>
      </c>
      <c r="D7" s="164">
        <f>Data!BT6</f>
        <v>5</v>
      </c>
      <c r="E7" s="165">
        <f>IF(Data!$BQ6=0, 0, D7/Data!$BQ6)</f>
        <v>0.625</v>
      </c>
      <c r="F7" s="166">
        <f>Data!BU6</f>
        <v>2</v>
      </c>
      <c r="G7" s="165">
        <f>IF(Data!$BQ6=0, 0, F7/Data!$BQ6)</f>
        <v>0.25</v>
      </c>
      <c r="H7" s="164">
        <f>Data!BV6</f>
        <v>0</v>
      </c>
      <c r="I7" s="165">
        <f>IF(Data!$BQ6=0, 0, H7/Data!$BQ6)</f>
        <v>0</v>
      </c>
      <c r="J7" s="166">
        <f>Data!BW6</f>
        <v>1</v>
      </c>
      <c r="K7" s="167">
        <f>IF(Data!$BQ6=0, 0, J7/Data!$BQ6)</f>
        <v>0.125</v>
      </c>
      <c r="L7" s="164">
        <f>Data!BX6</f>
        <v>0</v>
      </c>
      <c r="M7" s="168">
        <f>IF(Data!$BQ6=0, 0, L7/Data!$BQ6)</f>
        <v>0</v>
      </c>
      <c r="N7" s="65"/>
      <c r="O7" s="65"/>
    </row>
    <row r="8" spans="1:15" ht="12" customHeight="1">
      <c r="A8" s="65"/>
      <c r="B8" s="129" t="str">
        <f>UPPER(LEFT(TRIM(Data!B7),1)) &amp; MID(TRIM(Data!B7),2,50)</f>
        <v>Burnos ertmės ir ryklės</v>
      </c>
      <c r="C8" s="129" t="str">
        <f>Data!C7</f>
        <v>C01-C14</v>
      </c>
      <c r="D8" s="155">
        <f>Data!BT7</f>
        <v>10</v>
      </c>
      <c r="E8" s="156">
        <f>IF(Data!$BQ7=0, 0, D8/Data!$BQ7)</f>
        <v>0.12345679012345678</v>
      </c>
      <c r="F8" s="157">
        <f>Data!BU7</f>
        <v>9</v>
      </c>
      <c r="G8" s="156">
        <f>IF(Data!$BQ7=0, 0, F8/Data!$BQ7)</f>
        <v>0.1111111111111111</v>
      </c>
      <c r="H8" s="155">
        <f>Data!BV7</f>
        <v>11</v>
      </c>
      <c r="I8" s="156">
        <f>IF(Data!$BQ7=0, 0, H8/Data!$BQ7)</f>
        <v>0.13580246913580246</v>
      </c>
      <c r="J8" s="157">
        <f>Data!BW7</f>
        <v>20</v>
      </c>
      <c r="K8" s="158">
        <f>IF(Data!$BQ7=0, 0, J8/Data!$BQ7)</f>
        <v>0.24691358024691357</v>
      </c>
      <c r="L8" s="155">
        <f>Data!BX7</f>
        <v>31</v>
      </c>
      <c r="M8" s="159">
        <f>IF(Data!$BQ7=0, 0, L8/Data!$BQ7)</f>
        <v>0.38271604938271603</v>
      </c>
      <c r="N8" s="65"/>
      <c r="O8" s="65"/>
    </row>
    <row r="9" spans="1:15" ht="12" customHeight="1">
      <c r="A9" s="65"/>
      <c r="B9" s="145" t="str">
        <f>UPPER(LEFT(TRIM(Data!B8),1)) &amp; MID(TRIM(Data!B8),2,50)</f>
        <v>Stemplės</v>
      </c>
      <c r="C9" s="145" t="str">
        <f>Data!C8</f>
        <v>C15</v>
      </c>
      <c r="D9" s="164">
        <f>Data!BT8</f>
        <v>2</v>
      </c>
      <c r="E9" s="165">
        <f>IF(Data!$BQ8=0, 0, D9/Data!$BQ8)</f>
        <v>5.4054054054054057E-2</v>
      </c>
      <c r="F9" s="166">
        <f>Data!BU8</f>
        <v>5</v>
      </c>
      <c r="G9" s="165">
        <f>IF(Data!$BQ8=0, 0, F9/Data!$BQ8)</f>
        <v>0.13513513513513514</v>
      </c>
      <c r="H9" s="164">
        <f>Data!BV8</f>
        <v>5</v>
      </c>
      <c r="I9" s="165">
        <f>IF(Data!$BQ8=0, 0, H9/Data!$BQ8)</f>
        <v>0.13513513513513514</v>
      </c>
      <c r="J9" s="166">
        <f>Data!BW8</f>
        <v>6</v>
      </c>
      <c r="K9" s="167">
        <f>IF(Data!$BQ8=0, 0, J9/Data!$BQ8)</f>
        <v>0.16216216216216217</v>
      </c>
      <c r="L9" s="164">
        <f>Data!BX8</f>
        <v>19</v>
      </c>
      <c r="M9" s="168">
        <f>IF(Data!$BQ8=0, 0, L9/Data!$BQ8)</f>
        <v>0.51351351351351349</v>
      </c>
      <c r="N9" s="65"/>
      <c r="O9" s="65"/>
    </row>
    <row r="10" spans="1:15" ht="12" customHeight="1">
      <c r="A10" s="65"/>
      <c r="B10" s="129" t="str">
        <f>UPPER(LEFT(TRIM(Data!B9),1)) &amp; MID(TRIM(Data!B9),2,50)</f>
        <v>Skrandžio</v>
      </c>
      <c r="C10" s="129" t="str">
        <f>Data!C9</f>
        <v>C16</v>
      </c>
      <c r="D10" s="155">
        <f>Data!BT9</f>
        <v>30</v>
      </c>
      <c r="E10" s="156">
        <f>IF(Data!$BQ9=0, 0, D10/Data!$BQ9)</f>
        <v>9.5238095238095233E-2</v>
      </c>
      <c r="F10" s="157">
        <f>Data!BU9</f>
        <v>27</v>
      </c>
      <c r="G10" s="156">
        <f>IF(Data!$BQ9=0, 0, F10/Data!$BQ9)</f>
        <v>8.5714285714285715E-2</v>
      </c>
      <c r="H10" s="155">
        <f>Data!BV9</f>
        <v>35</v>
      </c>
      <c r="I10" s="156">
        <f>IF(Data!$BQ9=0, 0, H10/Data!$BQ9)</f>
        <v>0.1111111111111111</v>
      </c>
      <c r="J10" s="157">
        <f>Data!BW9</f>
        <v>59</v>
      </c>
      <c r="K10" s="158">
        <f>IF(Data!$BQ9=0, 0, J10/Data!$BQ9)</f>
        <v>0.1873015873015873</v>
      </c>
      <c r="L10" s="155">
        <f>Data!BX9</f>
        <v>164</v>
      </c>
      <c r="M10" s="159">
        <f>IF(Data!$BQ9=0, 0, L10/Data!$BQ9)</f>
        <v>0.52063492063492067</v>
      </c>
      <c r="N10" s="65"/>
      <c r="O10" s="65"/>
    </row>
    <row r="11" spans="1:15" ht="12" customHeight="1">
      <c r="A11" s="65"/>
      <c r="B11" s="145" t="str">
        <f>UPPER(LEFT(TRIM(Data!B10),1)) &amp; MID(TRIM(Data!B10),2,50)</f>
        <v>Gaubtinės žarnos</v>
      </c>
      <c r="C11" s="145" t="str">
        <f>Data!C10</f>
        <v>C18</v>
      </c>
      <c r="D11" s="164">
        <f>Data!BT10</f>
        <v>55</v>
      </c>
      <c r="E11" s="165">
        <f>IF(Data!$BQ10=0, 0, D11/Data!$BQ10)</f>
        <v>0.1211453744493392</v>
      </c>
      <c r="F11" s="166">
        <f>Data!BU10</f>
        <v>96</v>
      </c>
      <c r="G11" s="165">
        <f>IF(Data!$BQ10=0, 0, F11/Data!$BQ10)</f>
        <v>0.21145374449339208</v>
      </c>
      <c r="H11" s="164">
        <f>Data!BV10</f>
        <v>105</v>
      </c>
      <c r="I11" s="165">
        <f>IF(Data!$BQ10=0, 0, H11/Data!$BQ10)</f>
        <v>0.23127753303964757</v>
      </c>
      <c r="J11" s="166">
        <f>Data!BW10</f>
        <v>74</v>
      </c>
      <c r="K11" s="167">
        <f>IF(Data!$BQ10=0, 0, J11/Data!$BQ10)</f>
        <v>0.16299559471365638</v>
      </c>
      <c r="L11" s="164">
        <f>Data!BX10</f>
        <v>124</v>
      </c>
      <c r="M11" s="168">
        <f>IF(Data!$BQ10=0, 0, L11/Data!$BQ10)</f>
        <v>0.27312775330396477</v>
      </c>
      <c r="N11" s="65"/>
      <c r="O11" s="65"/>
    </row>
    <row r="12" spans="1:15" ht="12" customHeight="1">
      <c r="A12" s="65"/>
      <c r="B12" s="129" t="str">
        <f>UPPER(LEFT(TRIM(Data!B11),1)) &amp; MID(TRIM(Data!B11),2,50)</f>
        <v>Tiesiosios žarnos, išangės</v>
      </c>
      <c r="C12" s="129" t="str">
        <f>Data!C11</f>
        <v>C19-C21</v>
      </c>
      <c r="D12" s="155">
        <f>Data!BT11</f>
        <v>30</v>
      </c>
      <c r="E12" s="156">
        <f>IF(Data!$BQ11=0, 0, D12/Data!$BQ11)</f>
        <v>0.1079136690647482</v>
      </c>
      <c r="F12" s="157">
        <f>Data!BU11</f>
        <v>57</v>
      </c>
      <c r="G12" s="156">
        <f>IF(Data!$BQ11=0, 0, F12/Data!$BQ11)</f>
        <v>0.20503597122302158</v>
      </c>
      <c r="H12" s="155">
        <f>Data!BV11</f>
        <v>85</v>
      </c>
      <c r="I12" s="156">
        <f>IF(Data!$BQ11=0, 0, H12/Data!$BQ11)</f>
        <v>0.30575539568345322</v>
      </c>
      <c r="J12" s="157">
        <f>Data!BW11</f>
        <v>38</v>
      </c>
      <c r="K12" s="158">
        <f>IF(Data!$BQ11=0, 0, J12/Data!$BQ11)</f>
        <v>0.1366906474820144</v>
      </c>
      <c r="L12" s="155">
        <f>Data!BX11</f>
        <v>68</v>
      </c>
      <c r="M12" s="159">
        <f>IF(Data!$BQ11=0, 0, L12/Data!$BQ11)</f>
        <v>0.2446043165467626</v>
      </c>
      <c r="N12" s="65"/>
      <c r="O12" s="65"/>
    </row>
    <row r="13" spans="1:15" ht="12" customHeight="1">
      <c r="A13" s="65"/>
      <c r="B13" s="145" t="str">
        <f>UPPER(LEFT(TRIM(Data!B12),1)) &amp; MID(TRIM(Data!B12),2,50)</f>
        <v>Kepenų</v>
      </c>
      <c r="C13" s="145" t="str">
        <f>Data!C12</f>
        <v>C22</v>
      </c>
      <c r="D13" s="164">
        <f>Data!BT12</f>
        <v>3</v>
      </c>
      <c r="E13" s="165">
        <f>IF(Data!$BQ12=0, 0, D13/Data!$BQ12)</f>
        <v>3.0612244897959183E-2</v>
      </c>
      <c r="F13" s="166">
        <f>Data!BU12</f>
        <v>9</v>
      </c>
      <c r="G13" s="165">
        <f>IF(Data!$BQ12=0, 0, F13/Data!$BQ12)</f>
        <v>9.1836734693877556E-2</v>
      </c>
      <c r="H13" s="164">
        <f>Data!BV12</f>
        <v>8</v>
      </c>
      <c r="I13" s="165">
        <f>IF(Data!$BQ12=0, 0, H13/Data!$BQ12)</f>
        <v>8.1632653061224483E-2</v>
      </c>
      <c r="J13" s="166">
        <f>Data!BW12</f>
        <v>29</v>
      </c>
      <c r="K13" s="167">
        <f>IF(Data!$BQ12=0, 0, J13/Data!$BQ12)</f>
        <v>0.29591836734693877</v>
      </c>
      <c r="L13" s="164">
        <f>Data!BX12</f>
        <v>49</v>
      </c>
      <c r="M13" s="168">
        <f>IF(Data!$BQ12=0, 0, L13/Data!$BQ12)</f>
        <v>0.5</v>
      </c>
      <c r="N13" s="65"/>
      <c r="O13" s="65"/>
    </row>
    <row r="14" spans="1:15" ht="12" customHeight="1">
      <c r="A14" s="65"/>
      <c r="B14" s="129" t="str">
        <f>UPPER(LEFT(TRIM(Data!B13),1)) &amp; MID(TRIM(Data!B13),2,50)</f>
        <v>Tulžies pūslės, ekstrahepatinių takų</v>
      </c>
      <c r="C14" s="129" t="str">
        <f>Data!C13</f>
        <v>C23, C24</v>
      </c>
      <c r="D14" s="155">
        <f>Data!BT13</f>
        <v>8</v>
      </c>
      <c r="E14" s="156">
        <f>IF(Data!$BQ13=0, 0, D14/Data!$BQ13)</f>
        <v>0.11428571428571428</v>
      </c>
      <c r="F14" s="157">
        <f>Data!BU13</f>
        <v>13</v>
      </c>
      <c r="G14" s="156">
        <f>IF(Data!$BQ13=0, 0, F14/Data!$BQ13)</f>
        <v>0.18571428571428572</v>
      </c>
      <c r="H14" s="155">
        <f>Data!BV13</f>
        <v>6</v>
      </c>
      <c r="I14" s="156">
        <f>IF(Data!$BQ13=0, 0, H14/Data!$BQ13)</f>
        <v>8.5714285714285715E-2</v>
      </c>
      <c r="J14" s="157">
        <f>Data!BW13</f>
        <v>14</v>
      </c>
      <c r="K14" s="158">
        <f>IF(Data!$BQ13=0, 0, J14/Data!$BQ13)</f>
        <v>0.2</v>
      </c>
      <c r="L14" s="155">
        <f>Data!BX13</f>
        <v>29</v>
      </c>
      <c r="M14" s="159">
        <f>IF(Data!$BQ13=0, 0, L14/Data!$BQ13)</f>
        <v>0.41428571428571431</v>
      </c>
      <c r="N14" s="65"/>
      <c r="O14" s="65"/>
    </row>
    <row r="15" spans="1:15" ht="12" customHeight="1">
      <c r="A15" s="65"/>
      <c r="B15" s="145" t="str">
        <f>UPPER(LEFT(TRIM(Data!B14),1)) &amp; MID(TRIM(Data!B14),2,50)</f>
        <v>Kasos</v>
      </c>
      <c r="C15" s="145" t="str">
        <f>Data!C14</f>
        <v>C25</v>
      </c>
      <c r="D15" s="164">
        <f>Data!BT14</f>
        <v>11</v>
      </c>
      <c r="E15" s="165">
        <f>IF(Data!$BQ14=0, 0, D15/Data!$BQ14)</f>
        <v>3.8327526132404179E-2</v>
      </c>
      <c r="F15" s="166">
        <f>Data!BU14</f>
        <v>56</v>
      </c>
      <c r="G15" s="165">
        <f>IF(Data!$BQ14=0, 0, F15/Data!$BQ14)</f>
        <v>0.1951219512195122</v>
      </c>
      <c r="H15" s="164">
        <f>Data!BV14</f>
        <v>29</v>
      </c>
      <c r="I15" s="165">
        <f>IF(Data!$BQ14=0, 0, H15/Data!$BQ14)</f>
        <v>0.10104529616724739</v>
      </c>
      <c r="J15" s="166">
        <f>Data!BW14</f>
        <v>88</v>
      </c>
      <c r="K15" s="167">
        <f>IF(Data!$BQ14=0, 0, J15/Data!$BQ14)</f>
        <v>0.30662020905923343</v>
      </c>
      <c r="L15" s="164">
        <f>Data!BX14</f>
        <v>103</v>
      </c>
      <c r="M15" s="168">
        <f>IF(Data!$BQ14=0, 0, L15/Data!$BQ14)</f>
        <v>0.35888501742160278</v>
      </c>
      <c r="N15" s="65"/>
      <c r="O15" s="65"/>
    </row>
    <row r="16" spans="1:15" ht="12" customHeight="1">
      <c r="A16" s="65"/>
      <c r="B16" s="129" t="str">
        <f>UPPER(LEFT(TRIM(Data!B15),1)) &amp; MID(TRIM(Data!B15),2,50)</f>
        <v>Kitų virškinimo sistemos organų</v>
      </c>
      <c r="C16" s="129" t="str">
        <f>Data!C15</f>
        <v>C17, C26, C48</v>
      </c>
      <c r="D16" s="155">
        <f>Data!BT15</f>
        <v>4</v>
      </c>
      <c r="E16" s="156">
        <f>IF(Data!$BQ15=0, 0, D16/Data!$BQ15)</f>
        <v>9.3023255813953487E-2</v>
      </c>
      <c r="F16" s="157">
        <f>Data!BU15</f>
        <v>2</v>
      </c>
      <c r="G16" s="156">
        <f>IF(Data!$BQ15=0, 0, F16/Data!$BQ15)</f>
        <v>4.6511627906976744E-2</v>
      </c>
      <c r="H16" s="155">
        <f>Data!BV15</f>
        <v>8</v>
      </c>
      <c r="I16" s="156">
        <f>IF(Data!$BQ15=0, 0, H16/Data!$BQ15)</f>
        <v>0.18604651162790697</v>
      </c>
      <c r="J16" s="157">
        <f>Data!BW15</f>
        <v>5</v>
      </c>
      <c r="K16" s="158">
        <f>IF(Data!$BQ15=0, 0, J16/Data!$BQ15)</f>
        <v>0.11627906976744186</v>
      </c>
      <c r="L16" s="155">
        <f>Data!BX15</f>
        <v>24</v>
      </c>
      <c r="M16" s="159">
        <f>IF(Data!$BQ15=0, 0, L16/Data!$BQ15)</f>
        <v>0.55813953488372092</v>
      </c>
      <c r="N16" s="65"/>
      <c r="O16" s="65"/>
    </row>
    <row r="17" spans="1:15" ht="12" customHeight="1">
      <c r="A17" s="65"/>
      <c r="B17" s="145" t="str">
        <f>UPPER(LEFT(TRIM(Data!B16),1)) &amp; MID(TRIM(Data!B16),2,50)</f>
        <v>Nosies ertmės, vid.ausies ir ančių</v>
      </c>
      <c r="C17" s="145" t="str">
        <f>Data!C16</f>
        <v>C30, C31</v>
      </c>
      <c r="D17" s="164">
        <f>Data!BT16</f>
        <v>0</v>
      </c>
      <c r="E17" s="165">
        <f>IF(Data!$BQ16=0, 0, D17/Data!$BQ16)</f>
        <v>0</v>
      </c>
      <c r="F17" s="166">
        <f>Data!BU16</f>
        <v>1</v>
      </c>
      <c r="G17" s="165">
        <f>IF(Data!$BQ16=0, 0, F17/Data!$BQ16)</f>
        <v>8.3333333333333329E-2</v>
      </c>
      <c r="H17" s="164">
        <f>Data!BV16</f>
        <v>2</v>
      </c>
      <c r="I17" s="165">
        <f>IF(Data!$BQ16=0, 0, H17/Data!$BQ16)</f>
        <v>0.16666666666666666</v>
      </c>
      <c r="J17" s="166">
        <f>Data!BW16</f>
        <v>6</v>
      </c>
      <c r="K17" s="167">
        <f>IF(Data!$BQ16=0, 0, J17/Data!$BQ16)</f>
        <v>0.5</v>
      </c>
      <c r="L17" s="164">
        <f>Data!BX16</f>
        <v>3</v>
      </c>
      <c r="M17" s="168">
        <f>IF(Data!$BQ16=0, 0, L17/Data!$BQ16)</f>
        <v>0.25</v>
      </c>
      <c r="N17" s="65"/>
      <c r="O17" s="65"/>
    </row>
    <row r="18" spans="1:15" ht="12" customHeight="1">
      <c r="A18" s="65"/>
      <c r="B18" s="129" t="str">
        <f>UPPER(LEFT(TRIM(Data!B17),1)) &amp; MID(TRIM(Data!B17),2,50)</f>
        <v>Gerklų</v>
      </c>
      <c r="C18" s="129" t="str">
        <f>Data!C17</f>
        <v>C32</v>
      </c>
      <c r="D18" s="155">
        <f>Data!BT17</f>
        <v>1</v>
      </c>
      <c r="E18" s="156">
        <f>IF(Data!$BQ17=0, 0, D18/Data!$BQ17)</f>
        <v>6.6666666666666666E-2</v>
      </c>
      <c r="F18" s="157">
        <f>Data!BU17</f>
        <v>3</v>
      </c>
      <c r="G18" s="156">
        <f>IF(Data!$BQ17=0, 0, F18/Data!$BQ17)</f>
        <v>0.2</v>
      </c>
      <c r="H18" s="155">
        <f>Data!BV17</f>
        <v>3</v>
      </c>
      <c r="I18" s="156">
        <f>IF(Data!$BQ17=0, 0, H18/Data!$BQ17)</f>
        <v>0.2</v>
      </c>
      <c r="J18" s="157">
        <f>Data!BW17</f>
        <v>4</v>
      </c>
      <c r="K18" s="158">
        <f>IF(Data!$BQ17=0, 0, J18/Data!$BQ17)</f>
        <v>0.26666666666666666</v>
      </c>
      <c r="L18" s="155">
        <f>Data!BX17</f>
        <v>4</v>
      </c>
      <c r="M18" s="159">
        <f>IF(Data!$BQ17=0, 0, L18/Data!$BQ17)</f>
        <v>0.26666666666666666</v>
      </c>
      <c r="N18" s="65"/>
      <c r="O18" s="65"/>
    </row>
    <row r="19" spans="1:15" ht="12" customHeight="1">
      <c r="A19" s="65"/>
      <c r="B19" s="145" t="str">
        <f>UPPER(LEFT(TRIM(Data!B18),1)) &amp; MID(TRIM(Data!B18),2,50)</f>
        <v>Plaučių, trachėjos, bronchų</v>
      </c>
      <c r="C19" s="145" t="str">
        <f>Data!C18</f>
        <v>C33, C34</v>
      </c>
      <c r="D19" s="164">
        <f>Data!BT18</f>
        <v>18</v>
      </c>
      <c r="E19" s="165">
        <f>IF(Data!$BQ18=0, 0, D19/Data!$BQ18)</f>
        <v>5.8064516129032261E-2</v>
      </c>
      <c r="F19" s="166">
        <f>Data!BU18</f>
        <v>22</v>
      </c>
      <c r="G19" s="165">
        <f>IF(Data!$BQ18=0, 0, F19/Data!$BQ18)</f>
        <v>7.0967741935483872E-2</v>
      </c>
      <c r="H19" s="164">
        <f>Data!BV18</f>
        <v>48</v>
      </c>
      <c r="I19" s="165">
        <f>IF(Data!$BQ18=0, 0, H19/Data!$BQ18)</f>
        <v>0.15483870967741936</v>
      </c>
      <c r="J19" s="166">
        <f>Data!BW18</f>
        <v>96</v>
      </c>
      <c r="K19" s="167">
        <f>IF(Data!$BQ18=0, 0, J19/Data!$BQ18)</f>
        <v>0.30967741935483872</v>
      </c>
      <c r="L19" s="164">
        <f>Data!BX18</f>
        <v>126</v>
      </c>
      <c r="M19" s="168">
        <f>IF(Data!$BQ18=0, 0, L19/Data!$BQ18)</f>
        <v>0.40645161290322579</v>
      </c>
      <c r="N19" s="65"/>
      <c r="O19" s="65"/>
    </row>
    <row r="20" spans="1:15" ht="12" customHeight="1">
      <c r="A20" s="65"/>
      <c r="B20" s="129" t="str">
        <f>UPPER(LEFT(TRIM(Data!B19),1)) &amp; MID(TRIM(Data!B19),2,50)</f>
        <v>Kitų kvėpavimo sistemos organų</v>
      </c>
      <c r="C20" s="129" t="str">
        <f>Data!C19</f>
        <v>C37-C39</v>
      </c>
      <c r="D20" s="155">
        <f>Data!BT19</f>
        <v>0</v>
      </c>
      <c r="E20" s="156">
        <f>IF(Data!$BQ19=0, 0, D20/Data!$BQ19)</f>
        <v>0</v>
      </c>
      <c r="F20" s="157">
        <f>Data!BU19</f>
        <v>1</v>
      </c>
      <c r="G20" s="156">
        <f>IF(Data!$BQ19=0, 0, F20/Data!$BQ19)</f>
        <v>0.16666666666666666</v>
      </c>
      <c r="H20" s="155">
        <f>Data!BV19</f>
        <v>0</v>
      </c>
      <c r="I20" s="156">
        <f>IF(Data!$BQ19=0, 0, H20/Data!$BQ19)</f>
        <v>0</v>
      </c>
      <c r="J20" s="157">
        <f>Data!BW19</f>
        <v>0</v>
      </c>
      <c r="K20" s="158">
        <f>IF(Data!$BQ19=0, 0, J20/Data!$BQ19)</f>
        <v>0</v>
      </c>
      <c r="L20" s="155">
        <f>Data!BX19</f>
        <v>5</v>
      </c>
      <c r="M20" s="159">
        <f>IF(Data!$BQ19=0, 0, L20/Data!$BQ19)</f>
        <v>0.83333333333333337</v>
      </c>
      <c r="N20" s="65"/>
      <c r="O20" s="65"/>
    </row>
    <row r="21" spans="1:15" ht="12" customHeight="1">
      <c r="A21" s="65"/>
      <c r="B21" s="145" t="str">
        <f>UPPER(LEFT(TRIM(Data!B20),1)) &amp; MID(TRIM(Data!B20),2,50)</f>
        <v>Kaulų ir jungiamojo audinio</v>
      </c>
      <c r="C21" s="145" t="str">
        <f>Data!C20</f>
        <v>C40-C41, C45-C47, C49</v>
      </c>
      <c r="D21" s="164">
        <f>Data!BT20</f>
        <v>11</v>
      </c>
      <c r="E21" s="165">
        <f>IF(Data!$BQ20=0, 0, D21/Data!$BQ20)</f>
        <v>0.15714285714285714</v>
      </c>
      <c r="F21" s="166">
        <f>Data!BU20</f>
        <v>4</v>
      </c>
      <c r="G21" s="165">
        <f>IF(Data!$BQ20=0, 0, F21/Data!$BQ20)</f>
        <v>5.7142857142857141E-2</v>
      </c>
      <c r="H21" s="164">
        <f>Data!BV20</f>
        <v>6</v>
      </c>
      <c r="I21" s="165">
        <f>IF(Data!$BQ20=0, 0, H21/Data!$BQ20)</f>
        <v>8.5714285714285715E-2</v>
      </c>
      <c r="J21" s="166">
        <f>Data!BW20</f>
        <v>10</v>
      </c>
      <c r="K21" s="167">
        <f>IF(Data!$BQ20=0, 0, J21/Data!$BQ20)</f>
        <v>0.14285714285714285</v>
      </c>
      <c r="L21" s="164">
        <f>Data!BX20</f>
        <v>39</v>
      </c>
      <c r="M21" s="168">
        <f>IF(Data!$BQ20=0, 0, L21/Data!$BQ20)</f>
        <v>0.55714285714285716</v>
      </c>
      <c r="N21" s="65"/>
      <c r="O21" s="65"/>
    </row>
    <row r="22" spans="1:15" ht="12" customHeight="1">
      <c r="A22" s="65"/>
      <c r="B22" s="129" t="str">
        <f>UPPER(LEFT(TRIM(Data!B21),1)) &amp; MID(TRIM(Data!B21),2,50)</f>
        <v>Odos melanoma</v>
      </c>
      <c r="C22" s="129" t="str">
        <f>Data!C21</f>
        <v>C43</v>
      </c>
      <c r="D22" s="155">
        <f>Data!BT21</f>
        <v>93</v>
      </c>
      <c r="E22" s="156">
        <f>IF(Data!$BQ21=0, 0, D22/Data!$BQ21)</f>
        <v>0.44927536231884058</v>
      </c>
      <c r="F22" s="157">
        <f>Data!BU21</f>
        <v>81</v>
      </c>
      <c r="G22" s="156">
        <f>IF(Data!$BQ21=0, 0, F22/Data!$BQ21)</f>
        <v>0.39130434782608697</v>
      </c>
      <c r="H22" s="155">
        <f>Data!BV21</f>
        <v>12</v>
      </c>
      <c r="I22" s="156">
        <f>IF(Data!$BQ21=0, 0, H22/Data!$BQ21)</f>
        <v>5.7971014492753624E-2</v>
      </c>
      <c r="J22" s="157">
        <f>Data!BW21</f>
        <v>4</v>
      </c>
      <c r="K22" s="158">
        <f>IF(Data!$BQ21=0, 0, J22/Data!$BQ21)</f>
        <v>1.932367149758454E-2</v>
      </c>
      <c r="L22" s="155">
        <f>Data!BX21</f>
        <v>17</v>
      </c>
      <c r="M22" s="159">
        <f>IF(Data!$BQ21=0, 0, L22/Data!$BQ21)</f>
        <v>8.2125603864734303E-2</v>
      </c>
      <c r="N22" s="65"/>
      <c r="O22" s="65"/>
    </row>
    <row r="23" spans="1:15" ht="12" customHeight="1">
      <c r="A23" s="65"/>
      <c r="B23" s="145" t="str">
        <f>UPPER(LEFT(TRIM(Data!B22),1)) &amp; MID(TRIM(Data!B22),2,50)</f>
        <v>Kiti odos piktybiniai navikai</v>
      </c>
      <c r="C23" s="145" t="str">
        <f>Data!C22</f>
        <v>C44</v>
      </c>
      <c r="D23" s="164">
        <f>Data!BT22</f>
        <v>1021</v>
      </c>
      <c r="E23" s="165">
        <f>IF(Data!$BQ22=0, 0, D23/Data!$BQ22)</f>
        <v>0.72206506364922207</v>
      </c>
      <c r="F23" s="166">
        <f>Data!BU22</f>
        <v>279</v>
      </c>
      <c r="G23" s="165">
        <f>IF(Data!$BQ22=0, 0, F23/Data!$BQ22)</f>
        <v>0.19731258840169733</v>
      </c>
      <c r="H23" s="164">
        <f>Data!BV22</f>
        <v>14</v>
      </c>
      <c r="I23" s="165">
        <f>IF(Data!$BQ22=0, 0, H23/Data!$BQ22)</f>
        <v>9.9009900990099011E-3</v>
      </c>
      <c r="J23" s="166">
        <f>Data!BW22</f>
        <v>4</v>
      </c>
      <c r="K23" s="167">
        <f>IF(Data!$BQ22=0, 0, J23/Data!$BQ22)</f>
        <v>2.828854314002829E-3</v>
      </c>
      <c r="L23" s="164">
        <f>Data!BX22</f>
        <v>96</v>
      </c>
      <c r="M23" s="168">
        <f>IF(Data!$BQ22=0, 0, L23/Data!$BQ22)</f>
        <v>6.7892503536067891E-2</v>
      </c>
      <c r="N23" s="65"/>
      <c r="O23" s="65"/>
    </row>
    <row r="24" spans="1:15" ht="12" customHeight="1">
      <c r="A24" s="65"/>
      <c r="B24" s="129" t="str">
        <f>UPPER(LEFT(TRIM(Data!B23),1)) &amp; MID(TRIM(Data!B23),2,50)</f>
        <v>Krūties</v>
      </c>
      <c r="C24" s="129" t="str">
        <f>Data!C23</f>
        <v>C50</v>
      </c>
      <c r="D24" s="155">
        <f>Data!BT23</f>
        <v>522</v>
      </c>
      <c r="E24" s="156">
        <f>IF(Data!$BQ23=0, 0, D24/Data!$BQ23)</f>
        <v>0.31868131868131866</v>
      </c>
      <c r="F24" s="157">
        <f>Data!BU23</f>
        <v>595</v>
      </c>
      <c r="G24" s="156">
        <f>IF(Data!$BQ23=0, 0, F24/Data!$BQ23)</f>
        <v>0.36324786324786323</v>
      </c>
      <c r="H24" s="155">
        <f>Data!BV23</f>
        <v>272</v>
      </c>
      <c r="I24" s="156">
        <f>IF(Data!$BQ23=0, 0, H24/Data!$BQ23)</f>
        <v>0.16605616605616605</v>
      </c>
      <c r="J24" s="157">
        <f>Data!BW23</f>
        <v>91</v>
      </c>
      <c r="K24" s="158">
        <f>IF(Data!$BQ23=0, 0, J24/Data!$BQ23)</f>
        <v>5.5555555555555552E-2</v>
      </c>
      <c r="L24" s="155">
        <f>Data!BX23</f>
        <v>158</v>
      </c>
      <c r="M24" s="159">
        <f>IF(Data!$BQ23=0, 0, L24/Data!$BQ23)</f>
        <v>9.6459096459096463E-2</v>
      </c>
      <c r="N24" s="65"/>
      <c r="O24" s="65"/>
    </row>
    <row r="25" spans="1:15" ht="12" customHeight="1">
      <c r="A25" s="65"/>
      <c r="B25" s="145" t="str">
        <f>UPPER(LEFT(TRIM(Data!B24),1)) &amp; MID(TRIM(Data!B24),2,50)</f>
        <v>Vulvos</v>
      </c>
      <c r="C25" s="145" t="str">
        <f>Data!C24</f>
        <v>C51</v>
      </c>
      <c r="D25" s="164">
        <f>Data!BT24</f>
        <v>28</v>
      </c>
      <c r="E25" s="165">
        <f>IF(Data!$BQ24=0, 0, D25/Data!$BQ24)</f>
        <v>0.5490196078431373</v>
      </c>
      <c r="F25" s="166">
        <f>Data!BU24</f>
        <v>4</v>
      </c>
      <c r="G25" s="165">
        <f>IF(Data!$BQ24=0, 0, F25/Data!$BQ24)</f>
        <v>7.8431372549019607E-2</v>
      </c>
      <c r="H25" s="164">
        <f>Data!BV24</f>
        <v>9</v>
      </c>
      <c r="I25" s="165">
        <f>IF(Data!$BQ24=0, 0, H25/Data!$BQ24)</f>
        <v>0.17647058823529413</v>
      </c>
      <c r="J25" s="166">
        <f>Data!BW24</f>
        <v>1</v>
      </c>
      <c r="K25" s="167">
        <f>IF(Data!$BQ24=0, 0, J25/Data!$BQ24)</f>
        <v>1.9607843137254902E-2</v>
      </c>
      <c r="L25" s="164">
        <f>Data!BX24</f>
        <v>9</v>
      </c>
      <c r="M25" s="168">
        <f>IF(Data!$BQ24=0, 0, L25/Data!$BQ24)</f>
        <v>0.17647058823529413</v>
      </c>
      <c r="N25" s="65"/>
      <c r="O25" s="65"/>
    </row>
    <row r="26" spans="1:15" ht="12" customHeight="1">
      <c r="A26" s="65"/>
      <c r="B26" s="129" t="str">
        <f>UPPER(LEFT(TRIM(Data!B25),1)) &amp; MID(TRIM(Data!B25),2,50)</f>
        <v>Gimdos kaklelio</v>
      </c>
      <c r="C26" s="129" t="str">
        <f>Data!C25</f>
        <v>C53</v>
      </c>
      <c r="D26" s="155">
        <f>Data!BT25</f>
        <v>121</v>
      </c>
      <c r="E26" s="156">
        <f>IF(Data!$BQ25=0, 0, D26/Data!$BQ25)</f>
        <v>0.31842105263157894</v>
      </c>
      <c r="F26" s="157">
        <f>Data!BU25</f>
        <v>54</v>
      </c>
      <c r="G26" s="156">
        <f>IF(Data!$BQ25=0, 0, F26/Data!$BQ25)</f>
        <v>0.14210526315789473</v>
      </c>
      <c r="H26" s="155">
        <f>Data!BV25</f>
        <v>83</v>
      </c>
      <c r="I26" s="156">
        <f>IF(Data!$BQ25=0, 0, H26/Data!$BQ25)</f>
        <v>0.21842105263157896</v>
      </c>
      <c r="J26" s="157">
        <f>Data!BW25</f>
        <v>28</v>
      </c>
      <c r="K26" s="158">
        <f>IF(Data!$BQ25=0, 0, J26/Data!$BQ25)</f>
        <v>7.3684210526315783E-2</v>
      </c>
      <c r="L26" s="155">
        <f>Data!BX25</f>
        <v>94</v>
      </c>
      <c r="M26" s="159">
        <f>IF(Data!$BQ25=0, 0, L26/Data!$BQ25)</f>
        <v>0.24736842105263157</v>
      </c>
      <c r="N26" s="65"/>
      <c r="O26" s="65"/>
    </row>
    <row r="27" spans="1:15" ht="12" customHeight="1">
      <c r="A27" s="65"/>
      <c r="B27" s="145" t="str">
        <f>UPPER(LEFT(TRIM(Data!B26),1)) &amp; MID(TRIM(Data!B26),2,50)</f>
        <v>Gimdos kūno</v>
      </c>
      <c r="C27" s="145" t="str">
        <f>Data!C26</f>
        <v>C54, C55</v>
      </c>
      <c r="D27" s="164">
        <f>Data!BT26</f>
        <v>365</v>
      </c>
      <c r="E27" s="165">
        <f>IF(Data!$BQ26=0, 0, D27/Data!$BQ26)</f>
        <v>0.5934959349593496</v>
      </c>
      <c r="F27" s="166">
        <f>Data!BU26</f>
        <v>46</v>
      </c>
      <c r="G27" s="165">
        <f>IF(Data!$BQ26=0, 0, F27/Data!$BQ26)</f>
        <v>7.4796747967479676E-2</v>
      </c>
      <c r="H27" s="164">
        <f>Data!BV26</f>
        <v>51</v>
      </c>
      <c r="I27" s="165">
        <f>IF(Data!$BQ26=0, 0, H27/Data!$BQ26)</f>
        <v>8.2926829268292687E-2</v>
      </c>
      <c r="J27" s="166">
        <f>Data!BW26</f>
        <v>44</v>
      </c>
      <c r="K27" s="167">
        <f>IF(Data!$BQ26=0, 0, J27/Data!$BQ26)</f>
        <v>7.1544715447154475E-2</v>
      </c>
      <c r="L27" s="164">
        <f>Data!BX26</f>
        <v>109</v>
      </c>
      <c r="M27" s="168">
        <f>IF(Data!$BQ26=0, 0, L27/Data!$BQ26)</f>
        <v>0.17723577235772359</v>
      </c>
      <c r="N27" s="65"/>
      <c r="O27" s="65"/>
    </row>
    <row r="28" spans="1:15" ht="12" customHeight="1">
      <c r="A28" s="65"/>
      <c r="B28" s="129" t="str">
        <f>UPPER(LEFT(TRIM(Data!B27),1)) &amp; MID(TRIM(Data!B27),2,50)</f>
        <v>Kiaušidžių</v>
      </c>
      <c r="C28" s="129" t="str">
        <f>Data!C27</f>
        <v>C56</v>
      </c>
      <c r="D28" s="155">
        <f>Data!BT27</f>
        <v>55</v>
      </c>
      <c r="E28" s="156">
        <f>IF(Data!$BQ27=0, 0, D28/Data!$BQ27)</f>
        <v>0.14285714285714285</v>
      </c>
      <c r="F28" s="157">
        <f>Data!BU27</f>
        <v>28</v>
      </c>
      <c r="G28" s="156">
        <f>IF(Data!$BQ27=0, 0, F28/Data!$BQ27)</f>
        <v>7.2727272727272724E-2</v>
      </c>
      <c r="H28" s="155">
        <f>Data!BV27</f>
        <v>137</v>
      </c>
      <c r="I28" s="156">
        <f>IF(Data!$BQ27=0, 0, H28/Data!$BQ27)</f>
        <v>0.35584415584415585</v>
      </c>
      <c r="J28" s="157">
        <f>Data!BW27</f>
        <v>73</v>
      </c>
      <c r="K28" s="158">
        <f>IF(Data!$BQ27=0, 0, J28/Data!$BQ27)</f>
        <v>0.18961038961038962</v>
      </c>
      <c r="L28" s="155">
        <f>Data!BX27</f>
        <v>92</v>
      </c>
      <c r="M28" s="159">
        <f>IF(Data!$BQ27=0, 0, L28/Data!$BQ27)</f>
        <v>0.23896103896103896</v>
      </c>
      <c r="N28" s="65"/>
      <c r="O28" s="65"/>
    </row>
    <row r="29" spans="1:15" ht="12" customHeight="1">
      <c r="A29" s="65"/>
      <c r="B29" s="145" t="str">
        <f>UPPER(LEFT(TRIM(Data!B30),1)) &amp; MID(TRIM(Data!B30),2,50)</f>
        <v>Kitų lyties organų</v>
      </c>
      <c r="C29" s="145" t="s">
        <v>418</v>
      </c>
      <c r="D29" s="164">
        <f>Data!BT30</f>
        <v>6</v>
      </c>
      <c r="E29" s="165">
        <f>IF(Data!$BQ30=0, 0, D29/Data!$BQ30)</f>
        <v>0.17142857142857143</v>
      </c>
      <c r="F29" s="166">
        <f>Data!BU30</f>
        <v>3</v>
      </c>
      <c r="G29" s="165">
        <f>IF(Data!$BQ30=0, 0, F29/Data!$BQ30)</f>
        <v>8.5714285714285715E-2</v>
      </c>
      <c r="H29" s="164">
        <f>Data!BV30</f>
        <v>10</v>
      </c>
      <c r="I29" s="165">
        <f>IF(Data!$BQ30=0, 0, H29/Data!$BQ30)</f>
        <v>0.2857142857142857</v>
      </c>
      <c r="J29" s="166">
        <f>Data!BW30</f>
        <v>3</v>
      </c>
      <c r="K29" s="167">
        <f>IF(Data!$BQ30=0, 0, J29/Data!$BQ30)</f>
        <v>8.5714285714285715E-2</v>
      </c>
      <c r="L29" s="164">
        <f>Data!BX30</f>
        <v>13</v>
      </c>
      <c r="M29" s="168">
        <f>IF(Data!$BQ30=0, 0, L29/Data!$BQ30)</f>
        <v>0.37142857142857144</v>
      </c>
      <c r="N29" s="65"/>
      <c r="O29" s="65"/>
    </row>
    <row r="30" spans="1:15" ht="12" customHeight="1">
      <c r="A30" s="65"/>
      <c r="B30" s="129" t="str">
        <f>UPPER(LEFT(TRIM(Data!B31),1)) &amp; MID(TRIM(Data!B31),2,50)</f>
        <v>Inkstų</v>
      </c>
      <c r="C30" s="129" t="str">
        <f>Data!C31</f>
        <v>C64</v>
      </c>
      <c r="D30" s="155">
        <f>Data!BT31</f>
        <v>142</v>
      </c>
      <c r="E30" s="156">
        <f>IF(Data!$BQ31=0, 0, D30/Data!$BQ31)</f>
        <v>0.50176678445229683</v>
      </c>
      <c r="F30" s="157">
        <f>Data!BU31</f>
        <v>9</v>
      </c>
      <c r="G30" s="156">
        <f>IF(Data!$BQ31=0, 0, F30/Data!$BQ31)</f>
        <v>3.1802120141342753E-2</v>
      </c>
      <c r="H30" s="155">
        <f>Data!BV31</f>
        <v>49</v>
      </c>
      <c r="I30" s="156">
        <f>IF(Data!$BQ31=0, 0, H30/Data!$BQ31)</f>
        <v>0.17314487632508835</v>
      </c>
      <c r="J30" s="157">
        <f>Data!BW31</f>
        <v>30</v>
      </c>
      <c r="K30" s="158">
        <f>IF(Data!$BQ31=0, 0, J30/Data!$BQ31)</f>
        <v>0.10600706713780919</v>
      </c>
      <c r="L30" s="155">
        <f>Data!BX31</f>
        <v>53</v>
      </c>
      <c r="M30" s="159">
        <f>IF(Data!$BQ31=0, 0, L30/Data!$BQ31)</f>
        <v>0.1872791519434629</v>
      </c>
      <c r="N30" s="65"/>
      <c r="O30" s="65"/>
    </row>
    <row r="31" spans="1:15" ht="12" customHeight="1">
      <c r="A31" s="65"/>
      <c r="B31" s="145" t="str">
        <f>UPPER(LEFT(TRIM(Data!B32),1)) &amp; MID(TRIM(Data!B32),2,50)</f>
        <v>Šlapimo pūslės</v>
      </c>
      <c r="C31" s="145" t="str">
        <f>Data!C32</f>
        <v>C67</v>
      </c>
      <c r="D31" s="164">
        <f>Data!BT32</f>
        <v>27</v>
      </c>
      <c r="E31" s="165">
        <f>IF(Data!$BQ32=0, 0, D31/Data!$BQ32)</f>
        <v>0.29032258064516131</v>
      </c>
      <c r="F31" s="166">
        <f>Data!BU32</f>
        <v>14</v>
      </c>
      <c r="G31" s="165">
        <f>IF(Data!$BQ32=0, 0, F31/Data!$BQ32)</f>
        <v>0.15053763440860216</v>
      </c>
      <c r="H31" s="164">
        <f>Data!BV32</f>
        <v>7</v>
      </c>
      <c r="I31" s="165">
        <f>IF(Data!$BQ32=0, 0, H31/Data!$BQ32)</f>
        <v>7.5268817204301078E-2</v>
      </c>
      <c r="J31" s="166">
        <f>Data!BW32</f>
        <v>9</v>
      </c>
      <c r="K31" s="167">
        <f>IF(Data!$BQ32=0, 0, J31/Data!$BQ32)</f>
        <v>9.6774193548387094E-2</v>
      </c>
      <c r="L31" s="164">
        <f>Data!BX32</f>
        <v>36</v>
      </c>
      <c r="M31" s="168">
        <f>IF(Data!$BQ32=0, 0, L31/Data!$BQ32)</f>
        <v>0.38709677419354838</v>
      </c>
      <c r="N31" s="65"/>
      <c r="O31" s="65"/>
    </row>
    <row r="32" spans="1:15" ht="12" customHeight="1">
      <c r="A32" s="65"/>
      <c r="B32" s="129" t="str">
        <f>UPPER(LEFT(TRIM(Data!B33),1)) &amp; MID(TRIM(Data!B33),2,50)</f>
        <v>Kitų šlapimą išskiriančių organų</v>
      </c>
      <c r="C32" s="129" t="str">
        <f>Data!C33</f>
        <v>C65, C66, C68</v>
      </c>
      <c r="D32" s="155">
        <f>Data!BT33</f>
        <v>2</v>
      </c>
      <c r="E32" s="156">
        <f>IF(Data!$BQ33=0, 0, D32/Data!$BQ33)</f>
        <v>7.6923076923076927E-2</v>
      </c>
      <c r="F32" s="157">
        <f>Data!BU33</f>
        <v>2</v>
      </c>
      <c r="G32" s="156">
        <f>IF(Data!$BQ33=0, 0, F32/Data!$BQ33)</f>
        <v>7.6923076923076927E-2</v>
      </c>
      <c r="H32" s="155">
        <f>Data!BV33</f>
        <v>9</v>
      </c>
      <c r="I32" s="156">
        <f>IF(Data!$BQ33=0, 0, H32/Data!$BQ33)</f>
        <v>0.34615384615384615</v>
      </c>
      <c r="J32" s="157">
        <f>Data!BW33</f>
        <v>4</v>
      </c>
      <c r="K32" s="158">
        <f>IF(Data!$BQ33=0, 0, J32/Data!$BQ33)</f>
        <v>0.15384615384615385</v>
      </c>
      <c r="L32" s="155">
        <f>Data!BX33</f>
        <v>9</v>
      </c>
      <c r="M32" s="159">
        <f>IF(Data!$BQ33=0, 0, L32/Data!$BQ33)</f>
        <v>0.34615384615384615</v>
      </c>
      <c r="N32" s="65"/>
      <c r="O32" s="65"/>
    </row>
    <row r="33" spans="1:15" ht="12" customHeight="1">
      <c r="A33" s="65"/>
      <c r="B33" s="145" t="str">
        <f>UPPER(LEFT(TRIM(Data!B34),1)) &amp; MID(TRIM(Data!B34),2,50)</f>
        <v>Akių</v>
      </c>
      <c r="C33" s="145" t="str">
        <f>Data!C34</f>
        <v>C69</v>
      </c>
      <c r="D33" s="164">
        <f>Data!BT34</f>
        <v>0</v>
      </c>
      <c r="E33" s="165">
        <f>IF(Data!$BQ34=0, 0, D33/Data!$BQ34)</f>
        <v>0</v>
      </c>
      <c r="F33" s="166">
        <f>Data!BU34</f>
        <v>7</v>
      </c>
      <c r="G33" s="165">
        <f>IF(Data!$BQ34=0, 0, F33/Data!$BQ34)</f>
        <v>0.41176470588235292</v>
      </c>
      <c r="H33" s="164">
        <f>Data!BV34</f>
        <v>4</v>
      </c>
      <c r="I33" s="165">
        <f>IF(Data!$BQ34=0, 0, H33/Data!$BQ34)</f>
        <v>0.23529411764705882</v>
      </c>
      <c r="J33" s="166">
        <f>Data!BW34</f>
        <v>0</v>
      </c>
      <c r="K33" s="167">
        <f>IF(Data!$BQ34=0, 0, J33/Data!$BQ34)</f>
        <v>0</v>
      </c>
      <c r="L33" s="164">
        <f>Data!BX34</f>
        <v>6</v>
      </c>
      <c r="M33" s="168">
        <f>IF(Data!$BQ34=0, 0, L33/Data!$BQ34)</f>
        <v>0.35294117647058826</v>
      </c>
      <c r="N33" s="65"/>
      <c r="O33" s="65"/>
    </row>
    <row r="34" spans="1:15" ht="12" customHeight="1">
      <c r="A34" s="65"/>
      <c r="B34" s="129" t="str">
        <f>UPPER(LEFT(TRIM(Data!B35),1)) &amp; MID(TRIM(Data!B35),2,50)</f>
        <v>Smegenų</v>
      </c>
      <c r="C34" s="129" t="str">
        <f>Data!C35</f>
        <v>C70-C72</v>
      </c>
      <c r="D34" s="155">
        <f>Data!BT35</f>
        <v>0</v>
      </c>
      <c r="E34" s="156">
        <f>IF(Data!$BQ35=0, 0, D34/Data!$BQ35)</f>
        <v>0</v>
      </c>
      <c r="F34" s="157">
        <f>Data!BU35</f>
        <v>0</v>
      </c>
      <c r="G34" s="156">
        <f>IF(Data!$BQ35=0, 0, F34/Data!$BQ35)</f>
        <v>0</v>
      </c>
      <c r="H34" s="155">
        <f>Data!BV35</f>
        <v>0</v>
      </c>
      <c r="I34" s="156">
        <f>IF(Data!$BQ35=0, 0, H34/Data!$BQ35)</f>
        <v>0</v>
      </c>
      <c r="J34" s="157">
        <f>Data!BW35</f>
        <v>0</v>
      </c>
      <c r="K34" s="158">
        <f>IF(Data!$BQ35=0, 0, J34/Data!$BQ35)</f>
        <v>0</v>
      </c>
      <c r="L34" s="155">
        <f>Data!BX35</f>
        <v>141</v>
      </c>
      <c r="M34" s="159">
        <f>IF(Data!$BQ35=0, 0, L34/Data!$BQ35)</f>
        <v>1</v>
      </c>
      <c r="N34" s="65"/>
      <c r="O34" s="65"/>
    </row>
    <row r="35" spans="1:15" ht="12" customHeight="1">
      <c r="A35" s="65"/>
      <c r="B35" s="145" t="str">
        <f>UPPER(LEFT(TRIM(Data!B36),1)) &amp; MID(TRIM(Data!B36),2,50)</f>
        <v>Skydliaukės</v>
      </c>
      <c r="C35" s="145" t="str">
        <f>Data!C36</f>
        <v>C73</v>
      </c>
      <c r="D35" s="164">
        <f>Data!BT36</f>
        <v>172</v>
      </c>
      <c r="E35" s="165">
        <f>IF(Data!$BQ36=0, 0, D35/Data!$BQ36)</f>
        <v>0.60992907801418439</v>
      </c>
      <c r="F35" s="166">
        <f>Data!BU36</f>
        <v>20</v>
      </c>
      <c r="G35" s="165">
        <f>IF(Data!$BQ36=0, 0, F35/Data!$BQ36)</f>
        <v>7.0921985815602842E-2</v>
      </c>
      <c r="H35" s="164">
        <f>Data!BV36</f>
        <v>69</v>
      </c>
      <c r="I35" s="165">
        <f>IF(Data!$BQ36=0, 0, H35/Data!$BQ36)</f>
        <v>0.24468085106382978</v>
      </c>
      <c r="J35" s="166">
        <f>Data!BW36</f>
        <v>17</v>
      </c>
      <c r="K35" s="167">
        <f>IF(Data!$BQ36=0, 0, J35/Data!$BQ36)</f>
        <v>6.0283687943262408E-2</v>
      </c>
      <c r="L35" s="164">
        <f>Data!BX36</f>
        <v>4</v>
      </c>
      <c r="M35" s="168">
        <f>IF(Data!$BQ36=0, 0, L35/Data!$BQ36)</f>
        <v>1.4184397163120567E-2</v>
      </c>
      <c r="N35" s="65"/>
      <c r="O35" s="65"/>
    </row>
    <row r="36" spans="1:15" ht="12" customHeight="1">
      <c r="A36" s="65"/>
      <c r="B36" s="129" t="str">
        <f>UPPER(LEFT(TRIM(Data!B37),1)) &amp; MID(TRIM(Data!B37),2,50)</f>
        <v>Kitų endokrininių liaukų</v>
      </c>
      <c r="C36" s="129" t="str">
        <f>Data!C37</f>
        <v>C74-C75</v>
      </c>
      <c r="D36" s="155">
        <f>Data!BT37</f>
        <v>1</v>
      </c>
      <c r="E36" s="156">
        <f>IF(Data!$BQ37=0, 0, D36/Data!$BQ37)</f>
        <v>0.14285714285714285</v>
      </c>
      <c r="F36" s="157">
        <f>Data!BU37</f>
        <v>0</v>
      </c>
      <c r="G36" s="156">
        <f>IF(Data!$BQ37=0, 0, F36/Data!$BQ37)</f>
        <v>0</v>
      </c>
      <c r="H36" s="155">
        <f>Data!BV37</f>
        <v>1</v>
      </c>
      <c r="I36" s="156">
        <f>IF(Data!$BQ37=0, 0, H36/Data!$BQ37)</f>
        <v>0.14285714285714285</v>
      </c>
      <c r="J36" s="157">
        <f>Data!BW37</f>
        <v>2</v>
      </c>
      <c r="K36" s="158">
        <f>IF(Data!$BQ37=0, 0, J36/Data!$BQ37)</f>
        <v>0.2857142857142857</v>
      </c>
      <c r="L36" s="155">
        <f>Data!BX37</f>
        <v>3</v>
      </c>
      <c r="M36" s="159">
        <f>IF(Data!$BQ37=0, 0, L36/Data!$BQ37)</f>
        <v>0.42857142857142855</v>
      </c>
      <c r="N36" s="65"/>
      <c r="O36" s="65"/>
    </row>
    <row r="37" spans="1:15" ht="12" customHeight="1">
      <c r="A37" s="65"/>
      <c r="B37" s="145" t="str">
        <f>UPPER(LEFT(TRIM(Data!B38),1)) &amp; MID(TRIM(Data!B38),2,50)</f>
        <v>Nepatikslintos lokalizacijos</v>
      </c>
      <c r="C37" s="145" t="str">
        <f>Data!C38</f>
        <v>C76-C80</v>
      </c>
      <c r="D37" s="164">
        <f>Data!BT38</f>
        <v>0</v>
      </c>
      <c r="E37" s="165">
        <f>IF(Data!$BQ38=0, 0, D37/Data!$BQ38)</f>
        <v>0</v>
      </c>
      <c r="F37" s="166">
        <f>Data!BU38</f>
        <v>0</v>
      </c>
      <c r="G37" s="165">
        <f>IF(Data!$BQ38=0, 0, F37/Data!$BQ38)</f>
        <v>0</v>
      </c>
      <c r="H37" s="164">
        <f>Data!BV38</f>
        <v>4</v>
      </c>
      <c r="I37" s="165">
        <f>IF(Data!$BQ38=0, 0, H37/Data!$BQ38)</f>
        <v>1.9512195121951219E-2</v>
      </c>
      <c r="J37" s="166">
        <f>Data!BW38</f>
        <v>67</v>
      </c>
      <c r="K37" s="167">
        <f>IF(Data!$BQ38=0, 0, J37/Data!$BQ38)</f>
        <v>0.32682926829268294</v>
      </c>
      <c r="L37" s="164">
        <f>Data!BX38</f>
        <v>134</v>
      </c>
      <c r="M37" s="168">
        <f>IF(Data!$BQ38=0, 0, L37/Data!$BQ38)</f>
        <v>0.65365853658536588</v>
      </c>
      <c r="N37" s="65"/>
      <c r="O37" s="65"/>
    </row>
    <row r="38" spans="1:1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</sheetData>
  <mergeCells count="7">
    <mergeCell ref="B4:B5"/>
    <mergeCell ref="C4:C5"/>
    <mergeCell ref="L4:M4"/>
    <mergeCell ref="D4:E4"/>
    <mergeCell ref="F4:G4"/>
    <mergeCell ref="H4:I4"/>
    <mergeCell ref="J4:K4"/>
  </mergeCells>
  <pageMargins left="0.59055118110236215" right="0.62992125984251968" top="1.5748031496062993" bottom="1.9685039370078741" header="0" footer="0"/>
  <pageSetup paperSize="9" orientation="portrait" r:id="rId1"/>
  <headerFooter alignWithMargins="0"/>
  <ignoredErrors>
    <ignoredError sqref="F6 H6 J6 L6 F7 H7 J7 L7 F8:F28 H8:H28 J8:J28 L8:L28 F29:F37 H29:H37 J29:J37 L29:L3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39997558519241921"/>
  </sheetPr>
  <dimension ref="A1:X49"/>
  <sheetViews>
    <sheetView workbookViewId="0">
      <selection activeCell="R1" sqref="R1"/>
    </sheetView>
  </sheetViews>
  <sheetFormatPr defaultRowHeight="11.25"/>
  <cols>
    <col min="1" max="1" width="1.7109375" style="27" customWidth="1"/>
    <col min="2" max="2" width="28.7109375" style="27" customWidth="1"/>
    <col min="3" max="3" width="23.7109375" style="27" customWidth="1"/>
    <col min="4" max="21" width="6" style="27" customWidth="1"/>
    <col min="22" max="22" width="6.42578125" style="27" customWidth="1"/>
    <col min="23" max="33" width="0.85546875" style="27" customWidth="1"/>
    <col min="34" max="16384" width="9.140625" style="27"/>
  </cols>
  <sheetData>
    <row r="1" spans="1:24" ht="15">
      <c r="A1" s="29"/>
      <c r="B1" s="431" t="s">
        <v>403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2.75">
      <c r="A2" s="29"/>
      <c r="B2" s="63" t="str">
        <f>"Susirgimų piktybiniais navikais pasiskirstymas pagal amžiaus grupes  " &amp; GrafikaiSerg!A1 &amp; " m. Vyrai."</f>
        <v>Susirgimų piktybiniais navikais pasiskirstymas pagal amžiaus grupes  2015 m. Vyrai.</v>
      </c>
      <c r="C2" s="64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ht="12.75">
      <c r="A3" s="29"/>
      <c r="B3" s="57"/>
      <c r="C3" s="57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ht="12.95" customHeight="1">
      <c r="A4" s="29"/>
      <c r="B4" s="524" t="s">
        <v>243</v>
      </c>
      <c r="C4" s="524" t="s">
        <v>244</v>
      </c>
      <c r="D4" s="529" t="s">
        <v>419</v>
      </c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28"/>
      <c r="V4" s="534" t="s">
        <v>427</v>
      </c>
      <c r="W4" s="29"/>
      <c r="X4" s="29"/>
    </row>
    <row r="5" spans="1:24" ht="12.95" customHeight="1" thickBot="1">
      <c r="A5" s="29"/>
      <c r="B5" s="525"/>
      <c r="C5" s="525"/>
      <c r="D5" s="170" t="str">
        <f>Data!Q2</f>
        <v xml:space="preserve">0-4 </v>
      </c>
      <c r="E5" s="170" t="str">
        <f>Data!R2</f>
        <v>5-9</v>
      </c>
      <c r="F5" s="170" t="str">
        <f>Data!S2</f>
        <v>10-14</v>
      </c>
      <c r="G5" s="170" t="str">
        <f>Data!T2</f>
        <v>15-19</v>
      </c>
      <c r="H5" s="170" t="str">
        <f>Data!U2</f>
        <v>20-24</v>
      </c>
      <c r="I5" s="170" t="str">
        <f>Data!V2</f>
        <v>25-29</v>
      </c>
      <c r="J5" s="170" t="str">
        <f>Data!W2</f>
        <v>30-34</v>
      </c>
      <c r="K5" s="170" t="str">
        <f>Data!X2</f>
        <v>35-39</v>
      </c>
      <c r="L5" s="170" t="str">
        <f>Data!Y2</f>
        <v>40-44</v>
      </c>
      <c r="M5" s="170" t="str">
        <f>Data!Z2</f>
        <v>45-49</v>
      </c>
      <c r="N5" s="170" t="str">
        <f>Data!AA2</f>
        <v>50-54</v>
      </c>
      <c r="O5" s="170" t="str">
        <f>Data!AB2</f>
        <v>55-59</v>
      </c>
      <c r="P5" s="170" t="str">
        <f>Data!AC2</f>
        <v>60-64</v>
      </c>
      <c r="Q5" s="170" t="str">
        <f>Data!AD2</f>
        <v>65-69</v>
      </c>
      <c r="R5" s="170" t="str">
        <f>Data!AE2</f>
        <v>70-74</v>
      </c>
      <c r="S5" s="170" t="str">
        <f>Data!AF2</f>
        <v>75-79</v>
      </c>
      <c r="T5" s="170" t="str">
        <f>Data!AG2</f>
        <v>80-84</v>
      </c>
      <c r="U5" s="170" t="str">
        <f>Data!AH2</f>
        <v>85+</v>
      </c>
      <c r="V5" s="535"/>
      <c r="W5" s="29"/>
      <c r="X5" s="29"/>
    </row>
    <row r="6" spans="1:24" ht="12" customHeight="1" thickTop="1">
      <c r="A6" s="29"/>
      <c r="B6" s="150" t="str">
        <f>UPPER(LEFT(TRIM(Data!B5),1)) &amp; MID(TRIM(Data!B5),2,50)</f>
        <v>Piktybiniai navikai</v>
      </c>
      <c r="C6" s="150" t="str">
        <f>Data!C5</f>
        <v>C00-C96</v>
      </c>
      <c r="D6" s="169">
        <f>Data!Q5</f>
        <v>26</v>
      </c>
      <c r="E6" s="169">
        <f>Data!R5</f>
        <v>10</v>
      </c>
      <c r="F6" s="169">
        <f>Data!S5</f>
        <v>10</v>
      </c>
      <c r="G6" s="169">
        <f>Data!T5</f>
        <v>8</v>
      </c>
      <c r="H6" s="169">
        <f>Data!U5</f>
        <v>21</v>
      </c>
      <c r="I6" s="169">
        <f>Data!V5</f>
        <v>33</v>
      </c>
      <c r="J6" s="169">
        <f>Data!W5</f>
        <v>41</v>
      </c>
      <c r="K6" s="169">
        <f>Data!X5</f>
        <v>65</v>
      </c>
      <c r="L6" s="169">
        <f>Data!Y5</f>
        <v>148</v>
      </c>
      <c r="M6" s="169">
        <f>Data!Z5</f>
        <v>235</v>
      </c>
      <c r="N6" s="169">
        <f>Data!AA5</f>
        <v>709</v>
      </c>
      <c r="O6" s="169">
        <f>Data!AB5</f>
        <v>1230</v>
      </c>
      <c r="P6" s="169">
        <f>Data!AC5</f>
        <v>1380</v>
      </c>
      <c r="Q6" s="169">
        <f>Data!AD5</f>
        <v>1553</v>
      </c>
      <c r="R6" s="169">
        <f>Data!AE5</f>
        <v>1499</v>
      </c>
      <c r="S6" s="169">
        <f>Data!AF5</f>
        <v>1106</v>
      </c>
      <c r="T6" s="169">
        <f>Data!AG5</f>
        <v>751</v>
      </c>
      <c r="U6" s="169">
        <f>Data!AH5</f>
        <v>494</v>
      </c>
      <c r="V6" s="169">
        <f>SUM(D6:U6)</f>
        <v>9319</v>
      </c>
      <c r="W6" s="29"/>
      <c r="X6" s="29"/>
    </row>
    <row r="7" spans="1:24" ht="12" customHeight="1">
      <c r="A7" s="29"/>
      <c r="B7" s="151" t="str">
        <f>UPPER(LEFT(TRIM(Data!B6),1)) &amp; MID(TRIM(Data!B6),2,50)</f>
        <v>Lūpos</v>
      </c>
      <c r="C7" s="151" t="str">
        <f>Data!C6</f>
        <v>C00</v>
      </c>
      <c r="D7" s="171">
        <f>Data!Q6</f>
        <v>0</v>
      </c>
      <c r="E7" s="171">
        <f>Data!R6</f>
        <v>0</v>
      </c>
      <c r="F7" s="171">
        <f>Data!S6</f>
        <v>0</v>
      </c>
      <c r="G7" s="171">
        <f>Data!T6</f>
        <v>0</v>
      </c>
      <c r="H7" s="171">
        <f>Data!U6</f>
        <v>0</v>
      </c>
      <c r="I7" s="171">
        <f>Data!V6</f>
        <v>0</v>
      </c>
      <c r="J7" s="171">
        <f>Data!W6</f>
        <v>0</v>
      </c>
      <c r="K7" s="171">
        <f>Data!X6</f>
        <v>0</v>
      </c>
      <c r="L7" s="171">
        <f>Data!Y6</f>
        <v>0</v>
      </c>
      <c r="M7" s="171">
        <f>Data!Z6</f>
        <v>0</v>
      </c>
      <c r="N7" s="171">
        <f>Data!AA6</f>
        <v>0</v>
      </c>
      <c r="O7" s="171">
        <f>Data!AB6</f>
        <v>0</v>
      </c>
      <c r="P7" s="171">
        <f>Data!AC6</f>
        <v>0</v>
      </c>
      <c r="Q7" s="171">
        <f>Data!AD6</f>
        <v>2</v>
      </c>
      <c r="R7" s="171">
        <f>Data!AE6</f>
        <v>2</v>
      </c>
      <c r="S7" s="171">
        <f>Data!AF6</f>
        <v>1</v>
      </c>
      <c r="T7" s="171">
        <f>Data!AG6</f>
        <v>4</v>
      </c>
      <c r="U7" s="171">
        <f>Data!AH6</f>
        <v>2</v>
      </c>
      <c r="V7" s="171">
        <f>SUM(D7:U7)</f>
        <v>11</v>
      </c>
      <c r="W7" s="29"/>
      <c r="X7" s="29"/>
    </row>
    <row r="8" spans="1:24" ht="12" customHeight="1">
      <c r="A8" s="29"/>
      <c r="B8" s="150" t="str">
        <f>UPPER(LEFT(TRIM(Data!B7),1)) &amp; MID(TRIM(Data!B7),2,50)</f>
        <v>Burnos ertmės ir ryklės</v>
      </c>
      <c r="C8" s="150" t="str">
        <f>Data!C7</f>
        <v>C01-C14</v>
      </c>
      <c r="D8" s="169">
        <f>Data!Q7</f>
        <v>0</v>
      </c>
      <c r="E8" s="169">
        <f>Data!R7</f>
        <v>0</v>
      </c>
      <c r="F8" s="169">
        <f>Data!S7</f>
        <v>0</v>
      </c>
      <c r="G8" s="169">
        <f>Data!T7</f>
        <v>0</v>
      </c>
      <c r="H8" s="169">
        <f>Data!U7</f>
        <v>1</v>
      </c>
      <c r="I8" s="169">
        <f>Data!V7</f>
        <v>1</v>
      </c>
      <c r="J8" s="169">
        <f>Data!W7</f>
        <v>1</v>
      </c>
      <c r="K8" s="169">
        <f>Data!X7</f>
        <v>1</v>
      </c>
      <c r="L8" s="169">
        <f>Data!Y7</f>
        <v>15</v>
      </c>
      <c r="M8" s="169">
        <f>Data!Z7</f>
        <v>23</v>
      </c>
      <c r="N8" s="169">
        <f>Data!AA7</f>
        <v>39</v>
      </c>
      <c r="O8" s="169">
        <f>Data!AB7</f>
        <v>63</v>
      </c>
      <c r="P8" s="169">
        <f>Data!AC7</f>
        <v>56</v>
      </c>
      <c r="Q8" s="169">
        <f>Data!AD7</f>
        <v>48</v>
      </c>
      <c r="R8" s="169">
        <f>Data!AE7</f>
        <v>24</v>
      </c>
      <c r="S8" s="169">
        <f>Data!AF7</f>
        <v>14</v>
      </c>
      <c r="T8" s="169">
        <f>Data!AG7</f>
        <v>2</v>
      </c>
      <c r="U8" s="169">
        <f>Data!AH7</f>
        <v>4</v>
      </c>
      <c r="V8" s="169">
        <f t="shared" ref="V8:V47" si="0">SUM(D8:U8)</f>
        <v>292</v>
      </c>
      <c r="W8" s="29"/>
      <c r="X8" s="29"/>
    </row>
    <row r="9" spans="1:24" ht="12" customHeight="1">
      <c r="A9" s="29"/>
      <c r="B9" s="151" t="str">
        <f>UPPER(LEFT(TRIM(Data!B8),1)) &amp; MID(TRIM(Data!B8),2,50)</f>
        <v>Stemplės</v>
      </c>
      <c r="C9" s="151" t="str">
        <f>Data!C8</f>
        <v>C15</v>
      </c>
      <c r="D9" s="171">
        <f>Data!Q8</f>
        <v>0</v>
      </c>
      <c r="E9" s="171">
        <f>Data!R8</f>
        <v>0</v>
      </c>
      <c r="F9" s="171">
        <f>Data!S8</f>
        <v>0</v>
      </c>
      <c r="G9" s="171">
        <f>Data!T8</f>
        <v>0</v>
      </c>
      <c r="H9" s="171">
        <f>Data!U8</f>
        <v>0</v>
      </c>
      <c r="I9" s="171">
        <f>Data!V8</f>
        <v>0</v>
      </c>
      <c r="J9" s="171">
        <f>Data!W8</f>
        <v>0</v>
      </c>
      <c r="K9" s="171">
        <f>Data!X8</f>
        <v>0</v>
      </c>
      <c r="L9" s="171">
        <f>Data!Y8</f>
        <v>6</v>
      </c>
      <c r="M9" s="171">
        <f>Data!Z8</f>
        <v>6</v>
      </c>
      <c r="N9" s="171">
        <f>Data!AA8</f>
        <v>14</v>
      </c>
      <c r="O9" s="171">
        <f>Data!AB8</f>
        <v>23</v>
      </c>
      <c r="P9" s="171">
        <f>Data!AC8</f>
        <v>37</v>
      </c>
      <c r="Q9" s="171">
        <f>Data!AD8</f>
        <v>38</v>
      </c>
      <c r="R9" s="171">
        <f>Data!AE8</f>
        <v>27</v>
      </c>
      <c r="S9" s="171">
        <f>Data!AF8</f>
        <v>12</v>
      </c>
      <c r="T9" s="171">
        <f>Data!AG8</f>
        <v>13</v>
      </c>
      <c r="U9" s="171">
        <f>Data!AH8</f>
        <v>4</v>
      </c>
      <c r="V9" s="171">
        <f t="shared" si="0"/>
        <v>180</v>
      </c>
      <c r="W9" s="29"/>
      <c r="X9" s="29"/>
    </row>
    <row r="10" spans="1:24" ht="12" customHeight="1">
      <c r="A10" s="29"/>
      <c r="B10" s="150" t="str">
        <f>UPPER(LEFT(TRIM(Data!B9),1)) &amp; MID(TRIM(Data!B9),2,50)</f>
        <v>Skrandžio</v>
      </c>
      <c r="C10" s="150" t="str">
        <f>Data!C9</f>
        <v>C16</v>
      </c>
      <c r="D10" s="169">
        <f>Data!Q9</f>
        <v>0</v>
      </c>
      <c r="E10" s="169">
        <f>Data!R9</f>
        <v>0</v>
      </c>
      <c r="F10" s="169">
        <f>Data!S9</f>
        <v>0</v>
      </c>
      <c r="G10" s="169">
        <f>Data!T9</f>
        <v>0</v>
      </c>
      <c r="H10" s="169">
        <f>Data!U9</f>
        <v>0</v>
      </c>
      <c r="I10" s="169">
        <f>Data!V9</f>
        <v>1</v>
      </c>
      <c r="J10" s="169">
        <f>Data!W9</f>
        <v>0</v>
      </c>
      <c r="K10" s="169">
        <f>Data!X9</f>
        <v>4</v>
      </c>
      <c r="L10" s="169">
        <f>Data!Y9</f>
        <v>12</v>
      </c>
      <c r="M10" s="169">
        <f>Data!Z9</f>
        <v>17</v>
      </c>
      <c r="N10" s="169">
        <f>Data!AA9</f>
        <v>37</v>
      </c>
      <c r="O10" s="169">
        <f>Data!AB9</f>
        <v>45</v>
      </c>
      <c r="P10" s="169">
        <f>Data!AC9</f>
        <v>60</v>
      </c>
      <c r="Q10" s="169">
        <f>Data!AD9</f>
        <v>61</v>
      </c>
      <c r="R10" s="169">
        <f>Data!AE9</f>
        <v>73</v>
      </c>
      <c r="S10" s="169">
        <f>Data!AF9</f>
        <v>93</v>
      </c>
      <c r="T10" s="169">
        <f>Data!AG9</f>
        <v>49</v>
      </c>
      <c r="U10" s="169">
        <f>Data!AH9</f>
        <v>39</v>
      </c>
      <c r="V10" s="169">
        <f t="shared" si="0"/>
        <v>491</v>
      </c>
      <c r="W10" s="29"/>
      <c r="X10" s="29"/>
    </row>
    <row r="11" spans="1:24" ht="12" customHeight="1">
      <c r="A11" s="29"/>
      <c r="B11" s="151" t="str">
        <f>UPPER(LEFT(TRIM(Data!B10),1)) &amp; MID(TRIM(Data!B10),2,50)</f>
        <v>Gaubtinės žarnos</v>
      </c>
      <c r="C11" s="151" t="str">
        <f>Data!C10</f>
        <v>C18</v>
      </c>
      <c r="D11" s="171">
        <f>Data!Q10</f>
        <v>0</v>
      </c>
      <c r="E11" s="171">
        <f>Data!R10</f>
        <v>0</v>
      </c>
      <c r="F11" s="171">
        <f>Data!S10</f>
        <v>0</v>
      </c>
      <c r="G11" s="171">
        <f>Data!T10</f>
        <v>0</v>
      </c>
      <c r="H11" s="171">
        <f>Data!U10</f>
        <v>2</v>
      </c>
      <c r="I11" s="171">
        <f>Data!V10</f>
        <v>1</v>
      </c>
      <c r="J11" s="171">
        <f>Data!W10</f>
        <v>3</v>
      </c>
      <c r="K11" s="171">
        <f>Data!X10</f>
        <v>5</v>
      </c>
      <c r="L11" s="171">
        <f>Data!Y10</f>
        <v>4</v>
      </c>
      <c r="M11" s="171">
        <f>Data!Z10</f>
        <v>6</v>
      </c>
      <c r="N11" s="171">
        <f>Data!AA10</f>
        <v>16</v>
      </c>
      <c r="O11" s="171">
        <f>Data!AB10</f>
        <v>36</v>
      </c>
      <c r="P11" s="171">
        <f>Data!AC10</f>
        <v>46</v>
      </c>
      <c r="Q11" s="171">
        <f>Data!AD10</f>
        <v>77</v>
      </c>
      <c r="R11" s="171">
        <f>Data!AE10</f>
        <v>81</v>
      </c>
      <c r="S11" s="171">
        <f>Data!AF10</f>
        <v>66</v>
      </c>
      <c r="T11" s="171">
        <f>Data!AG10</f>
        <v>49</v>
      </c>
      <c r="U11" s="171">
        <f>Data!AH10</f>
        <v>29</v>
      </c>
      <c r="V11" s="171">
        <f t="shared" si="0"/>
        <v>421</v>
      </c>
      <c r="W11" s="29"/>
      <c r="X11" s="29"/>
    </row>
    <row r="12" spans="1:24" ht="12" customHeight="1">
      <c r="A12" s="29"/>
      <c r="B12" s="150" t="str">
        <f>UPPER(LEFT(TRIM(Data!B11),1)) &amp; MID(TRIM(Data!B11),2,50)</f>
        <v>Tiesiosios žarnos, išangės</v>
      </c>
      <c r="C12" s="150" t="str">
        <f>Data!C11</f>
        <v>C19-C21</v>
      </c>
      <c r="D12" s="169">
        <f>Data!Q11</f>
        <v>0</v>
      </c>
      <c r="E12" s="169">
        <f>Data!R11</f>
        <v>0</v>
      </c>
      <c r="F12" s="169">
        <f>Data!S11</f>
        <v>0</v>
      </c>
      <c r="G12" s="169">
        <f>Data!T11</f>
        <v>0</v>
      </c>
      <c r="H12" s="169">
        <f>Data!U11</f>
        <v>0</v>
      </c>
      <c r="I12" s="169">
        <f>Data!V11</f>
        <v>0</v>
      </c>
      <c r="J12" s="169">
        <f>Data!W11</f>
        <v>0</v>
      </c>
      <c r="K12" s="169">
        <f>Data!X11</f>
        <v>0</v>
      </c>
      <c r="L12" s="169">
        <f>Data!Y11</f>
        <v>2</v>
      </c>
      <c r="M12" s="169">
        <f>Data!Z11</f>
        <v>11</v>
      </c>
      <c r="N12" s="169">
        <f>Data!AA11</f>
        <v>13</v>
      </c>
      <c r="O12" s="169">
        <f>Data!AB11</f>
        <v>35</v>
      </c>
      <c r="P12" s="169">
        <f>Data!AC11</f>
        <v>44</v>
      </c>
      <c r="Q12" s="169">
        <f>Data!AD11</f>
        <v>53</v>
      </c>
      <c r="R12" s="169">
        <f>Data!AE11</f>
        <v>68</v>
      </c>
      <c r="S12" s="169">
        <f>Data!AF11</f>
        <v>50</v>
      </c>
      <c r="T12" s="169">
        <f>Data!AG11</f>
        <v>44</v>
      </c>
      <c r="U12" s="169">
        <f>Data!AH11</f>
        <v>23</v>
      </c>
      <c r="V12" s="169">
        <f t="shared" si="0"/>
        <v>343</v>
      </c>
      <c r="W12" s="29"/>
      <c r="X12" s="29"/>
    </row>
    <row r="13" spans="1:24" ht="12" customHeight="1">
      <c r="A13" s="29"/>
      <c r="B13" s="151" t="str">
        <f>UPPER(LEFT(TRIM(Data!B12),1)) &amp; MID(TRIM(Data!B12),2,50)</f>
        <v>Kepenų</v>
      </c>
      <c r="C13" s="151" t="str">
        <f>Data!C12</f>
        <v>C22</v>
      </c>
      <c r="D13" s="171">
        <f>Data!Q12</f>
        <v>1</v>
      </c>
      <c r="E13" s="171">
        <f>Data!R12</f>
        <v>0</v>
      </c>
      <c r="F13" s="171">
        <f>Data!S12</f>
        <v>0</v>
      </c>
      <c r="G13" s="171">
        <f>Data!T12</f>
        <v>0</v>
      </c>
      <c r="H13" s="171">
        <f>Data!U12</f>
        <v>0</v>
      </c>
      <c r="I13" s="171">
        <f>Data!V12</f>
        <v>0</v>
      </c>
      <c r="J13" s="171">
        <f>Data!W12</f>
        <v>1</v>
      </c>
      <c r="K13" s="171">
        <f>Data!X12</f>
        <v>0</v>
      </c>
      <c r="L13" s="171">
        <f>Data!Y12</f>
        <v>4</v>
      </c>
      <c r="M13" s="171">
        <f>Data!Z12</f>
        <v>7</v>
      </c>
      <c r="N13" s="171">
        <f>Data!AA12</f>
        <v>15</v>
      </c>
      <c r="O13" s="171">
        <f>Data!AB12</f>
        <v>18</v>
      </c>
      <c r="P13" s="171">
        <f>Data!AC12</f>
        <v>20</v>
      </c>
      <c r="Q13" s="171">
        <f>Data!AD12</f>
        <v>29</v>
      </c>
      <c r="R13" s="171">
        <f>Data!AE12</f>
        <v>10</v>
      </c>
      <c r="S13" s="171">
        <f>Data!AF12</f>
        <v>22</v>
      </c>
      <c r="T13" s="171">
        <f>Data!AG12</f>
        <v>7</v>
      </c>
      <c r="U13" s="171">
        <f>Data!AH12</f>
        <v>8</v>
      </c>
      <c r="V13" s="171">
        <f t="shared" si="0"/>
        <v>142</v>
      </c>
      <c r="W13" s="29"/>
      <c r="X13" s="29"/>
    </row>
    <row r="14" spans="1:24" ht="12" customHeight="1">
      <c r="A14" s="29"/>
      <c r="B14" s="150" t="str">
        <f>UPPER(LEFT(TRIM(Data!B13),1)) &amp; MID(TRIM(Data!B13),2,50)</f>
        <v>Tulžies pūslės, ekstrahepatinių takų</v>
      </c>
      <c r="C14" s="150" t="str">
        <f>Data!C13</f>
        <v>C23, C24</v>
      </c>
      <c r="D14" s="169">
        <f>Data!Q13</f>
        <v>0</v>
      </c>
      <c r="E14" s="169">
        <f>Data!R13</f>
        <v>0</v>
      </c>
      <c r="F14" s="169">
        <f>Data!S13</f>
        <v>0</v>
      </c>
      <c r="G14" s="169">
        <f>Data!T13</f>
        <v>0</v>
      </c>
      <c r="H14" s="169">
        <f>Data!U13</f>
        <v>0</v>
      </c>
      <c r="I14" s="169">
        <f>Data!V13</f>
        <v>0</v>
      </c>
      <c r="J14" s="169">
        <f>Data!W13</f>
        <v>0</v>
      </c>
      <c r="K14" s="169">
        <f>Data!X13</f>
        <v>0</v>
      </c>
      <c r="L14" s="169">
        <f>Data!Y13</f>
        <v>1</v>
      </c>
      <c r="M14" s="169">
        <f>Data!Z13</f>
        <v>1</v>
      </c>
      <c r="N14" s="169">
        <f>Data!AA13</f>
        <v>3</v>
      </c>
      <c r="O14" s="169">
        <f>Data!AB13</f>
        <v>2</v>
      </c>
      <c r="P14" s="169">
        <f>Data!AC13</f>
        <v>3</v>
      </c>
      <c r="Q14" s="169">
        <f>Data!AD13</f>
        <v>5</v>
      </c>
      <c r="R14" s="169">
        <f>Data!AE13</f>
        <v>4</v>
      </c>
      <c r="S14" s="169">
        <f>Data!AF13</f>
        <v>8</v>
      </c>
      <c r="T14" s="169">
        <f>Data!AG13</f>
        <v>6</v>
      </c>
      <c r="U14" s="169">
        <f>Data!AH13</f>
        <v>4</v>
      </c>
      <c r="V14" s="169">
        <f t="shared" si="0"/>
        <v>37</v>
      </c>
      <c r="W14" s="29"/>
      <c r="X14" s="29"/>
    </row>
    <row r="15" spans="1:24" ht="12" customHeight="1">
      <c r="A15" s="29"/>
      <c r="B15" s="151" t="str">
        <f>UPPER(LEFT(TRIM(Data!B14),1)) &amp; MID(TRIM(Data!B14),2,50)</f>
        <v>Kasos</v>
      </c>
      <c r="C15" s="151" t="str">
        <f>Data!C14</f>
        <v>C25</v>
      </c>
      <c r="D15" s="171">
        <f>Data!Q14</f>
        <v>0</v>
      </c>
      <c r="E15" s="171">
        <f>Data!R14</f>
        <v>0</v>
      </c>
      <c r="F15" s="171">
        <f>Data!S14</f>
        <v>0</v>
      </c>
      <c r="G15" s="171">
        <f>Data!T14</f>
        <v>0</v>
      </c>
      <c r="H15" s="171">
        <f>Data!U14</f>
        <v>0</v>
      </c>
      <c r="I15" s="171">
        <f>Data!V14</f>
        <v>0</v>
      </c>
      <c r="J15" s="171">
        <f>Data!W14</f>
        <v>1</v>
      </c>
      <c r="K15" s="171">
        <f>Data!X14</f>
        <v>2</v>
      </c>
      <c r="L15" s="171">
        <f>Data!Y14</f>
        <v>6</v>
      </c>
      <c r="M15" s="171">
        <f>Data!Z14</f>
        <v>15</v>
      </c>
      <c r="N15" s="171">
        <f>Data!AA14</f>
        <v>19</v>
      </c>
      <c r="O15" s="171">
        <f>Data!AB14</f>
        <v>25</v>
      </c>
      <c r="P15" s="171">
        <f>Data!AC14</f>
        <v>26</v>
      </c>
      <c r="Q15" s="171">
        <f>Data!AD14</f>
        <v>37</v>
      </c>
      <c r="R15" s="171">
        <f>Data!AE14</f>
        <v>39</v>
      </c>
      <c r="S15" s="171">
        <f>Data!AF14</f>
        <v>38</v>
      </c>
      <c r="T15" s="171">
        <f>Data!AG14</f>
        <v>23</v>
      </c>
      <c r="U15" s="171">
        <f>Data!AH14</f>
        <v>13</v>
      </c>
      <c r="V15" s="171">
        <f t="shared" si="0"/>
        <v>244</v>
      </c>
      <c r="W15" s="29"/>
      <c r="X15" s="29"/>
    </row>
    <row r="16" spans="1:24" ht="12" customHeight="1">
      <c r="A16" s="29"/>
      <c r="B16" s="150" t="str">
        <f>UPPER(LEFT(TRIM(Data!B15),1)) &amp; MID(TRIM(Data!B15),2,50)</f>
        <v>Kitų virškinimo sistemos organų</v>
      </c>
      <c r="C16" s="150" t="str">
        <f>Data!C15</f>
        <v>C17, C26, C48</v>
      </c>
      <c r="D16" s="169">
        <f>Data!Q15</f>
        <v>1</v>
      </c>
      <c r="E16" s="169">
        <f>Data!R15</f>
        <v>0</v>
      </c>
      <c r="F16" s="169">
        <f>Data!S15</f>
        <v>0</v>
      </c>
      <c r="G16" s="169">
        <f>Data!T15</f>
        <v>0</v>
      </c>
      <c r="H16" s="169">
        <f>Data!U15</f>
        <v>0</v>
      </c>
      <c r="I16" s="169">
        <f>Data!V15</f>
        <v>0</v>
      </c>
      <c r="J16" s="169">
        <f>Data!W15</f>
        <v>0</v>
      </c>
      <c r="K16" s="169">
        <f>Data!X15</f>
        <v>0</v>
      </c>
      <c r="L16" s="169">
        <f>Data!Y15</f>
        <v>0</v>
      </c>
      <c r="M16" s="169">
        <f>Data!Z15</f>
        <v>0</v>
      </c>
      <c r="N16" s="169">
        <f>Data!AA15</f>
        <v>2</v>
      </c>
      <c r="O16" s="169">
        <f>Data!AB15</f>
        <v>3</v>
      </c>
      <c r="P16" s="169">
        <f>Data!AC15</f>
        <v>3</v>
      </c>
      <c r="Q16" s="169">
        <f>Data!AD15</f>
        <v>6</v>
      </c>
      <c r="R16" s="169">
        <f>Data!AE15</f>
        <v>1</v>
      </c>
      <c r="S16" s="169">
        <f>Data!AF15</f>
        <v>5</v>
      </c>
      <c r="T16" s="169">
        <f>Data!AG15</f>
        <v>4</v>
      </c>
      <c r="U16" s="169">
        <f>Data!AH15</f>
        <v>5</v>
      </c>
      <c r="V16" s="169">
        <f t="shared" si="0"/>
        <v>30</v>
      </c>
      <c r="W16" s="29"/>
      <c r="X16" s="29"/>
    </row>
    <row r="17" spans="1:24" ht="12" customHeight="1">
      <c r="A17" s="29"/>
      <c r="B17" s="151" t="str">
        <f>UPPER(LEFT(TRIM(Data!B16),1)) &amp; MID(TRIM(Data!B16),2,50)</f>
        <v>Nosies ertmės, vid.ausies ir ančių</v>
      </c>
      <c r="C17" s="151" t="str">
        <f>Data!C16</f>
        <v>C30, C31</v>
      </c>
      <c r="D17" s="171">
        <f>Data!Q16</f>
        <v>0</v>
      </c>
      <c r="E17" s="171">
        <f>Data!R16</f>
        <v>0</v>
      </c>
      <c r="F17" s="171">
        <f>Data!S16</f>
        <v>0</v>
      </c>
      <c r="G17" s="171">
        <f>Data!T16</f>
        <v>0</v>
      </c>
      <c r="H17" s="171">
        <f>Data!U16</f>
        <v>0</v>
      </c>
      <c r="I17" s="171">
        <f>Data!V16</f>
        <v>0</v>
      </c>
      <c r="J17" s="171">
        <f>Data!W16</f>
        <v>1</v>
      </c>
      <c r="K17" s="171">
        <f>Data!X16</f>
        <v>0</v>
      </c>
      <c r="L17" s="171">
        <f>Data!Y16</f>
        <v>0</v>
      </c>
      <c r="M17" s="171">
        <f>Data!Z16</f>
        <v>1</v>
      </c>
      <c r="N17" s="171">
        <f>Data!AA16</f>
        <v>0</v>
      </c>
      <c r="O17" s="171">
        <f>Data!AB16</f>
        <v>2</v>
      </c>
      <c r="P17" s="171">
        <f>Data!AC16</f>
        <v>2</v>
      </c>
      <c r="Q17" s="171">
        <f>Data!AD16</f>
        <v>0</v>
      </c>
      <c r="R17" s="171">
        <f>Data!AE16</f>
        <v>1</v>
      </c>
      <c r="S17" s="171">
        <f>Data!AF16</f>
        <v>0</v>
      </c>
      <c r="T17" s="171">
        <f>Data!AG16</f>
        <v>0</v>
      </c>
      <c r="U17" s="171">
        <f>Data!AH16</f>
        <v>0</v>
      </c>
      <c r="V17" s="171">
        <f t="shared" si="0"/>
        <v>7</v>
      </c>
      <c r="W17" s="29"/>
      <c r="X17" s="29"/>
    </row>
    <row r="18" spans="1:24" ht="12" customHeight="1">
      <c r="A18" s="29"/>
      <c r="B18" s="150" t="str">
        <f>UPPER(LEFT(TRIM(Data!B17),1)) &amp; MID(TRIM(Data!B17),2,50)</f>
        <v>Gerklų</v>
      </c>
      <c r="C18" s="150" t="str">
        <f>Data!C17</f>
        <v>C32</v>
      </c>
      <c r="D18" s="169">
        <f>Data!Q17</f>
        <v>0</v>
      </c>
      <c r="E18" s="169">
        <f>Data!R17</f>
        <v>0</v>
      </c>
      <c r="F18" s="169">
        <f>Data!S17</f>
        <v>0</v>
      </c>
      <c r="G18" s="169">
        <f>Data!T17</f>
        <v>0</v>
      </c>
      <c r="H18" s="169">
        <f>Data!U17</f>
        <v>0</v>
      </c>
      <c r="I18" s="169">
        <f>Data!V17</f>
        <v>0</v>
      </c>
      <c r="J18" s="169">
        <f>Data!W17</f>
        <v>0</v>
      </c>
      <c r="K18" s="169">
        <f>Data!X17</f>
        <v>0</v>
      </c>
      <c r="L18" s="169">
        <f>Data!Y17</f>
        <v>6</v>
      </c>
      <c r="M18" s="169">
        <f>Data!Z17</f>
        <v>5</v>
      </c>
      <c r="N18" s="169">
        <f>Data!AA17</f>
        <v>25</v>
      </c>
      <c r="O18" s="169">
        <f>Data!AB17</f>
        <v>26</v>
      </c>
      <c r="P18" s="169">
        <f>Data!AC17</f>
        <v>29</v>
      </c>
      <c r="Q18" s="169">
        <f>Data!AD17</f>
        <v>25</v>
      </c>
      <c r="R18" s="169">
        <f>Data!AE17</f>
        <v>25</v>
      </c>
      <c r="S18" s="169">
        <f>Data!AF17</f>
        <v>7</v>
      </c>
      <c r="T18" s="169">
        <f>Data!AG17</f>
        <v>9</v>
      </c>
      <c r="U18" s="169">
        <f>Data!AH17</f>
        <v>6</v>
      </c>
      <c r="V18" s="169">
        <f t="shared" si="0"/>
        <v>163</v>
      </c>
      <c r="W18" s="29"/>
      <c r="X18" s="29"/>
    </row>
    <row r="19" spans="1:24" ht="12" customHeight="1">
      <c r="A19" s="29"/>
      <c r="B19" s="151" t="str">
        <f>UPPER(LEFT(TRIM(Data!B18),1)) &amp; MID(TRIM(Data!B18),2,50)</f>
        <v>Plaučių, trachėjos, bronchų</v>
      </c>
      <c r="C19" s="151" t="str">
        <f>Data!C18</f>
        <v>C33, C34</v>
      </c>
      <c r="D19" s="171">
        <f>Data!Q18</f>
        <v>1</v>
      </c>
      <c r="E19" s="171">
        <f>Data!R18</f>
        <v>0</v>
      </c>
      <c r="F19" s="171">
        <f>Data!S18</f>
        <v>0</v>
      </c>
      <c r="G19" s="171">
        <f>Data!T18</f>
        <v>0</v>
      </c>
      <c r="H19" s="171">
        <f>Data!U18</f>
        <v>0</v>
      </c>
      <c r="I19" s="171">
        <f>Data!V18</f>
        <v>0</v>
      </c>
      <c r="J19" s="171">
        <f>Data!W18</f>
        <v>0</v>
      </c>
      <c r="K19" s="171">
        <f>Data!X18</f>
        <v>5</v>
      </c>
      <c r="L19" s="171">
        <f>Data!Y18</f>
        <v>14</v>
      </c>
      <c r="M19" s="171">
        <f>Data!Z18</f>
        <v>19</v>
      </c>
      <c r="N19" s="171">
        <f>Data!AA18</f>
        <v>84</v>
      </c>
      <c r="O19" s="171">
        <f>Data!AB18</f>
        <v>150</v>
      </c>
      <c r="P19" s="171">
        <f>Data!AC18</f>
        <v>188</v>
      </c>
      <c r="Q19" s="171">
        <f>Data!AD18</f>
        <v>205</v>
      </c>
      <c r="R19" s="171">
        <f>Data!AE18</f>
        <v>198</v>
      </c>
      <c r="S19" s="171">
        <f>Data!AF18</f>
        <v>163</v>
      </c>
      <c r="T19" s="171">
        <f>Data!AG18</f>
        <v>104</v>
      </c>
      <c r="U19" s="171">
        <f>Data!AH18</f>
        <v>60</v>
      </c>
      <c r="V19" s="171">
        <f t="shared" si="0"/>
        <v>1191</v>
      </c>
      <c r="W19" s="29"/>
      <c r="X19" s="29"/>
    </row>
    <row r="20" spans="1:24" ht="12" customHeight="1">
      <c r="A20" s="29"/>
      <c r="B20" s="150" t="str">
        <f>UPPER(LEFT(TRIM(Data!B19),1)) &amp; MID(TRIM(Data!B19),2,50)</f>
        <v>Kitų kvėpavimo sistemos organų</v>
      </c>
      <c r="C20" s="150" t="str">
        <f>Data!C19</f>
        <v>C37-C39</v>
      </c>
      <c r="D20" s="169">
        <f>Data!Q19</f>
        <v>1</v>
      </c>
      <c r="E20" s="169">
        <f>Data!R19</f>
        <v>0</v>
      </c>
      <c r="F20" s="169">
        <f>Data!S19</f>
        <v>0</v>
      </c>
      <c r="G20" s="169">
        <f>Data!T19</f>
        <v>0</v>
      </c>
      <c r="H20" s="169">
        <f>Data!U19</f>
        <v>0</v>
      </c>
      <c r="I20" s="169">
        <f>Data!V19</f>
        <v>0</v>
      </c>
      <c r="J20" s="169">
        <f>Data!W19</f>
        <v>0</v>
      </c>
      <c r="K20" s="169">
        <f>Data!X19</f>
        <v>0</v>
      </c>
      <c r="L20" s="169">
        <f>Data!Y19</f>
        <v>0</v>
      </c>
      <c r="M20" s="169">
        <f>Data!Z19</f>
        <v>0</v>
      </c>
      <c r="N20" s="169">
        <f>Data!AA19</f>
        <v>0</v>
      </c>
      <c r="O20" s="169">
        <f>Data!AB19</f>
        <v>0</v>
      </c>
      <c r="P20" s="169">
        <f>Data!AC19</f>
        <v>0</v>
      </c>
      <c r="Q20" s="169">
        <f>Data!AD19</f>
        <v>6</v>
      </c>
      <c r="R20" s="169">
        <f>Data!AE19</f>
        <v>1</v>
      </c>
      <c r="S20" s="169">
        <f>Data!AF19</f>
        <v>2</v>
      </c>
      <c r="T20" s="169">
        <f>Data!AG19</f>
        <v>2</v>
      </c>
      <c r="U20" s="169">
        <f>Data!AH19</f>
        <v>0</v>
      </c>
      <c r="V20" s="169">
        <f t="shared" si="0"/>
        <v>12</v>
      </c>
      <c r="W20" s="29"/>
      <c r="X20" s="29"/>
    </row>
    <row r="21" spans="1:24" ht="12" customHeight="1">
      <c r="A21" s="29"/>
      <c r="B21" s="151" t="str">
        <f>UPPER(LEFT(TRIM(Data!B20),1)) &amp; MID(TRIM(Data!B20),2,50)</f>
        <v>Kaulų ir jungiamojo audinio</v>
      </c>
      <c r="C21" s="151" t="str">
        <f>Data!C20</f>
        <v>C40-C41, C45-C47, C49</v>
      </c>
      <c r="D21" s="171">
        <f>Data!Q20</f>
        <v>2</v>
      </c>
      <c r="E21" s="171">
        <f>Data!R20</f>
        <v>1</v>
      </c>
      <c r="F21" s="171">
        <f>Data!S20</f>
        <v>3</v>
      </c>
      <c r="G21" s="171">
        <f>Data!T20</f>
        <v>0</v>
      </c>
      <c r="H21" s="171">
        <f>Data!U20</f>
        <v>1</v>
      </c>
      <c r="I21" s="171">
        <f>Data!V20</f>
        <v>1</v>
      </c>
      <c r="J21" s="171">
        <f>Data!W20</f>
        <v>2</v>
      </c>
      <c r="K21" s="171">
        <f>Data!X20</f>
        <v>4</v>
      </c>
      <c r="L21" s="171">
        <f>Data!Y20</f>
        <v>2</v>
      </c>
      <c r="M21" s="171">
        <f>Data!Z20</f>
        <v>0</v>
      </c>
      <c r="N21" s="171">
        <f>Data!AA20</f>
        <v>4</v>
      </c>
      <c r="O21" s="171">
        <f>Data!AB20</f>
        <v>7</v>
      </c>
      <c r="P21" s="171">
        <f>Data!AC20</f>
        <v>7</v>
      </c>
      <c r="Q21" s="171">
        <f>Data!AD20</f>
        <v>0</v>
      </c>
      <c r="R21" s="171">
        <f>Data!AE20</f>
        <v>6</v>
      </c>
      <c r="S21" s="171">
        <f>Data!AF20</f>
        <v>3</v>
      </c>
      <c r="T21" s="171">
        <f>Data!AG20</f>
        <v>5</v>
      </c>
      <c r="U21" s="171">
        <f>Data!AH20</f>
        <v>5</v>
      </c>
      <c r="V21" s="171">
        <f t="shared" si="0"/>
        <v>53</v>
      </c>
      <c r="W21" s="29"/>
      <c r="X21" s="29"/>
    </row>
    <row r="22" spans="1:24" ht="12" customHeight="1">
      <c r="A22" s="29"/>
      <c r="B22" s="150" t="str">
        <f>UPPER(LEFT(TRIM(Data!B21),1)) &amp; MID(TRIM(Data!B21),2,50)</f>
        <v>Odos melanoma</v>
      </c>
      <c r="C22" s="150" t="str">
        <f>Data!C21</f>
        <v>C43</v>
      </c>
      <c r="D22" s="169">
        <f>Data!Q21</f>
        <v>0</v>
      </c>
      <c r="E22" s="169">
        <f>Data!R21</f>
        <v>0</v>
      </c>
      <c r="F22" s="169">
        <f>Data!S21</f>
        <v>0</v>
      </c>
      <c r="G22" s="169">
        <f>Data!T21</f>
        <v>0</v>
      </c>
      <c r="H22" s="169">
        <f>Data!U21</f>
        <v>2</v>
      </c>
      <c r="I22" s="169">
        <f>Data!V21</f>
        <v>1</v>
      </c>
      <c r="J22" s="169">
        <f>Data!W21</f>
        <v>1</v>
      </c>
      <c r="K22" s="169">
        <f>Data!X21</f>
        <v>6</v>
      </c>
      <c r="L22" s="169">
        <f>Data!Y21</f>
        <v>10</v>
      </c>
      <c r="M22" s="169">
        <f>Data!Z21</f>
        <v>12</v>
      </c>
      <c r="N22" s="169">
        <f>Data!AA21</f>
        <v>15</v>
      </c>
      <c r="O22" s="169">
        <f>Data!AB21</f>
        <v>17</v>
      </c>
      <c r="P22" s="169">
        <f>Data!AC21</f>
        <v>16</v>
      </c>
      <c r="Q22" s="169">
        <f>Data!AD21</f>
        <v>14</v>
      </c>
      <c r="R22" s="169">
        <f>Data!AE21</f>
        <v>14</v>
      </c>
      <c r="S22" s="169">
        <f>Data!AF21</f>
        <v>15</v>
      </c>
      <c r="T22" s="169">
        <f>Data!AG21</f>
        <v>9</v>
      </c>
      <c r="U22" s="169">
        <f>Data!AH21</f>
        <v>7</v>
      </c>
      <c r="V22" s="169">
        <f t="shared" si="0"/>
        <v>139</v>
      </c>
      <c r="W22" s="29"/>
      <c r="X22" s="29"/>
    </row>
    <row r="23" spans="1:24" ht="12" customHeight="1">
      <c r="A23" s="29"/>
      <c r="B23" s="151" t="str">
        <f>UPPER(LEFT(TRIM(Data!B22),1)) &amp; MID(TRIM(Data!B22),2,50)</f>
        <v>Kiti odos piktybiniai navikai</v>
      </c>
      <c r="C23" s="151" t="str">
        <f>Data!C22</f>
        <v>C44</v>
      </c>
      <c r="D23" s="171">
        <f>Data!Q22</f>
        <v>0</v>
      </c>
      <c r="E23" s="171">
        <f>Data!R22</f>
        <v>0</v>
      </c>
      <c r="F23" s="171">
        <f>Data!S22</f>
        <v>0</v>
      </c>
      <c r="G23" s="171">
        <f>Data!T22</f>
        <v>0</v>
      </c>
      <c r="H23" s="171">
        <f>Data!U22</f>
        <v>1</v>
      </c>
      <c r="I23" s="171">
        <f>Data!V22</f>
        <v>7</v>
      </c>
      <c r="J23" s="171">
        <f>Data!W22</f>
        <v>4</v>
      </c>
      <c r="K23" s="171">
        <f>Data!X22</f>
        <v>10</v>
      </c>
      <c r="L23" s="171">
        <f>Data!Y22</f>
        <v>19</v>
      </c>
      <c r="M23" s="171">
        <f>Data!Z22</f>
        <v>27</v>
      </c>
      <c r="N23" s="171">
        <f>Data!AA22</f>
        <v>49</v>
      </c>
      <c r="O23" s="171">
        <f>Data!AB22</f>
        <v>68</v>
      </c>
      <c r="P23" s="171">
        <f>Data!AC22</f>
        <v>76</v>
      </c>
      <c r="Q23" s="171">
        <f>Data!AD22</f>
        <v>125</v>
      </c>
      <c r="R23" s="171">
        <f>Data!AE22</f>
        <v>121</v>
      </c>
      <c r="S23" s="171">
        <f>Data!AF22</f>
        <v>132</v>
      </c>
      <c r="T23" s="171">
        <f>Data!AG22</f>
        <v>103</v>
      </c>
      <c r="U23" s="171">
        <f>Data!AH22</f>
        <v>81</v>
      </c>
      <c r="V23" s="171">
        <f t="shared" si="0"/>
        <v>823</v>
      </c>
      <c r="W23" s="29"/>
      <c r="X23" s="29"/>
    </row>
    <row r="24" spans="1:24" ht="12" customHeight="1">
      <c r="A24" s="29"/>
      <c r="B24" s="150" t="str">
        <f>UPPER(LEFT(TRIM(Data!B23),1)) &amp; MID(TRIM(Data!B23),2,50)</f>
        <v>Krūties</v>
      </c>
      <c r="C24" s="150" t="str">
        <f>Data!C23</f>
        <v>C50</v>
      </c>
      <c r="D24" s="169">
        <f>Data!Q23</f>
        <v>0</v>
      </c>
      <c r="E24" s="169">
        <f>Data!R23</f>
        <v>0</v>
      </c>
      <c r="F24" s="169">
        <f>Data!S23</f>
        <v>0</v>
      </c>
      <c r="G24" s="169">
        <f>Data!T23</f>
        <v>0</v>
      </c>
      <c r="H24" s="169">
        <f>Data!U23</f>
        <v>0</v>
      </c>
      <c r="I24" s="169">
        <f>Data!V23</f>
        <v>0</v>
      </c>
      <c r="J24" s="169">
        <f>Data!W23</f>
        <v>0</v>
      </c>
      <c r="K24" s="169">
        <f>Data!X23</f>
        <v>1</v>
      </c>
      <c r="L24" s="169">
        <f>Data!Y23</f>
        <v>0</v>
      </c>
      <c r="M24" s="169">
        <f>Data!Z23</f>
        <v>0</v>
      </c>
      <c r="N24" s="169">
        <f>Data!AA23</f>
        <v>1</v>
      </c>
      <c r="O24" s="169">
        <f>Data!AB23</f>
        <v>0</v>
      </c>
      <c r="P24" s="169">
        <f>Data!AC23</f>
        <v>0</v>
      </c>
      <c r="Q24" s="169">
        <f>Data!AD23</f>
        <v>1</v>
      </c>
      <c r="R24" s="169">
        <f>Data!AE23</f>
        <v>1</v>
      </c>
      <c r="S24" s="169">
        <f>Data!AF23</f>
        <v>3</v>
      </c>
      <c r="T24" s="169">
        <f>Data!AG23</f>
        <v>1</v>
      </c>
      <c r="U24" s="169">
        <f>Data!AH23</f>
        <v>0</v>
      </c>
      <c r="V24" s="169">
        <f t="shared" si="0"/>
        <v>8</v>
      </c>
      <c r="W24" s="29"/>
      <c r="X24" s="29"/>
    </row>
    <row r="25" spans="1:24" ht="12" customHeight="1">
      <c r="A25" s="29"/>
      <c r="B25" s="151" t="str">
        <f>UPPER(LEFT(TRIM(Data!B28),1)) &amp; MID(TRIM(Data!B28),2,50)</f>
        <v>Priešinės liaukos</v>
      </c>
      <c r="C25" s="151" t="str">
        <f>Data!C28</f>
        <v>C61</v>
      </c>
      <c r="D25" s="171">
        <f>Data!Q28</f>
        <v>0</v>
      </c>
      <c r="E25" s="171">
        <f>Data!R28</f>
        <v>0</v>
      </c>
      <c r="F25" s="171">
        <f>Data!S28</f>
        <v>0</v>
      </c>
      <c r="G25" s="171">
        <f>Data!T28</f>
        <v>0</v>
      </c>
      <c r="H25" s="171">
        <f>Data!U28</f>
        <v>0</v>
      </c>
      <c r="I25" s="171">
        <f>Data!V28</f>
        <v>0</v>
      </c>
      <c r="J25" s="171">
        <f>Data!W28</f>
        <v>0</v>
      </c>
      <c r="K25" s="171">
        <f>Data!X28</f>
        <v>0</v>
      </c>
      <c r="L25" s="171">
        <f>Data!Y28</f>
        <v>5</v>
      </c>
      <c r="M25" s="171">
        <f>Data!Z28</f>
        <v>26</v>
      </c>
      <c r="N25" s="171">
        <f>Data!AA28</f>
        <v>249</v>
      </c>
      <c r="O25" s="171">
        <f>Data!AB28</f>
        <v>498</v>
      </c>
      <c r="P25" s="171">
        <f>Data!AC28</f>
        <v>567</v>
      </c>
      <c r="Q25" s="171">
        <f>Data!AD28</f>
        <v>572</v>
      </c>
      <c r="R25" s="171">
        <f>Data!AE28</f>
        <v>551</v>
      </c>
      <c r="S25" s="171">
        <f>Data!AF28</f>
        <v>241</v>
      </c>
      <c r="T25" s="171">
        <f>Data!AG28</f>
        <v>164</v>
      </c>
      <c r="U25" s="171">
        <f>Data!AH28</f>
        <v>94</v>
      </c>
      <c r="V25" s="171">
        <f t="shared" si="0"/>
        <v>2967</v>
      </c>
      <c r="W25" s="29"/>
      <c r="X25" s="29"/>
    </row>
    <row r="26" spans="1:24" ht="12" customHeight="1">
      <c r="A26" s="29"/>
      <c r="B26" s="150" t="str">
        <f>UPPER(LEFT(TRIM(Data!B29),1)) &amp; MID(TRIM(Data!B29),2,50)</f>
        <v>Sėklidžių</v>
      </c>
      <c r="C26" s="150" t="str">
        <f>Data!C29</f>
        <v>C62</v>
      </c>
      <c r="D26" s="169">
        <f>Data!Q29</f>
        <v>0</v>
      </c>
      <c r="E26" s="169">
        <f>Data!R29</f>
        <v>0</v>
      </c>
      <c r="F26" s="169">
        <f>Data!S29</f>
        <v>0</v>
      </c>
      <c r="G26" s="169">
        <f>Data!T29</f>
        <v>2</v>
      </c>
      <c r="H26" s="169">
        <f>Data!U29</f>
        <v>5</v>
      </c>
      <c r="I26" s="169">
        <f>Data!V29</f>
        <v>4</v>
      </c>
      <c r="J26" s="169">
        <f>Data!W29</f>
        <v>3</v>
      </c>
      <c r="K26" s="169">
        <f>Data!X29</f>
        <v>3</v>
      </c>
      <c r="L26" s="169">
        <f>Data!Y29</f>
        <v>7</v>
      </c>
      <c r="M26" s="169">
        <f>Data!Z29</f>
        <v>1</v>
      </c>
      <c r="N26" s="169">
        <f>Data!AA29</f>
        <v>3</v>
      </c>
      <c r="O26" s="169">
        <f>Data!AB29</f>
        <v>0</v>
      </c>
      <c r="P26" s="169">
        <f>Data!AC29</f>
        <v>1</v>
      </c>
      <c r="Q26" s="169">
        <f>Data!AD29</f>
        <v>0</v>
      </c>
      <c r="R26" s="169">
        <f>Data!AE29</f>
        <v>0</v>
      </c>
      <c r="S26" s="169">
        <f>Data!AF29</f>
        <v>0</v>
      </c>
      <c r="T26" s="169">
        <f>Data!AG29</f>
        <v>0</v>
      </c>
      <c r="U26" s="169">
        <f>Data!AH29</f>
        <v>0</v>
      </c>
      <c r="V26" s="169">
        <f t="shared" si="0"/>
        <v>29</v>
      </c>
      <c r="W26" s="29"/>
      <c r="X26" s="29"/>
    </row>
    <row r="27" spans="1:24" ht="12" customHeight="1">
      <c r="A27" s="29"/>
      <c r="B27" s="151" t="str">
        <f>UPPER(LEFT(TRIM(Data!B30),1)) &amp; MID(TRIM(Data!B30),2,50)</f>
        <v>Kitų lyties organų</v>
      </c>
      <c r="C27" s="151" t="s">
        <v>417</v>
      </c>
      <c r="D27" s="171">
        <f>Data!Q30</f>
        <v>0</v>
      </c>
      <c r="E27" s="171">
        <f>Data!R30</f>
        <v>0</v>
      </c>
      <c r="F27" s="171">
        <f>Data!S30</f>
        <v>0</v>
      </c>
      <c r="G27" s="171">
        <f>Data!T30</f>
        <v>0</v>
      </c>
      <c r="H27" s="171">
        <f>Data!U30</f>
        <v>0</v>
      </c>
      <c r="I27" s="171">
        <f>Data!V30</f>
        <v>0</v>
      </c>
      <c r="J27" s="171">
        <f>Data!W30</f>
        <v>0</v>
      </c>
      <c r="K27" s="171">
        <f>Data!X30</f>
        <v>0</v>
      </c>
      <c r="L27" s="171">
        <f>Data!Y30</f>
        <v>0</v>
      </c>
      <c r="M27" s="171">
        <f>Data!Z30</f>
        <v>2</v>
      </c>
      <c r="N27" s="171">
        <f>Data!AA30</f>
        <v>4</v>
      </c>
      <c r="O27" s="171">
        <f>Data!AB30</f>
        <v>4</v>
      </c>
      <c r="P27" s="171">
        <f>Data!AC30</f>
        <v>3</v>
      </c>
      <c r="Q27" s="171">
        <f>Data!AD30</f>
        <v>3</v>
      </c>
      <c r="R27" s="171">
        <f>Data!AE30</f>
        <v>0</v>
      </c>
      <c r="S27" s="171">
        <f>Data!AF30</f>
        <v>1</v>
      </c>
      <c r="T27" s="171">
        <f>Data!AG30</f>
        <v>3</v>
      </c>
      <c r="U27" s="171">
        <f>Data!AH30</f>
        <v>3</v>
      </c>
      <c r="V27" s="171">
        <f t="shared" si="0"/>
        <v>23</v>
      </c>
      <c r="W27" s="29"/>
      <c r="X27" s="29"/>
    </row>
    <row r="28" spans="1:24" ht="12" customHeight="1">
      <c r="A28" s="29"/>
      <c r="B28" s="150" t="str">
        <f>UPPER(LEFT(TRIM(Data!B31),1)) &amp; MID(TRIM(Data!B31),2,50)</f>
        <v>Inkstų</v>
      </c>
      <c r="C28" s="150" t="str">
        <f>Data!C31</f>
        <v>C64</v>
      </c>
      <c r="D28" s="169">
        <f>Data!Q31</f>
        <v>3</v>
      </c>
      <c r="E28" s="169">
        <f>Data!R31</f>
        <v>1</v>
      </c>
      <c r="F28" s="169">
        <f>Data!S31</f>
        <v>0</v>
      </c>
      <c r="G28" s="169">
        <f>Data!T31</f>
        <v>1</v>
      </c>
      <c r="H28" s="169">
        <f>Data!U31</f>
        <v>0</v>
      </c>
      <c r="I28" s="169">
        <f>Data!V31</f>
        <v>0</v>
      </c>
      <c r="J28" s="169">
        <f>Data!W31</f>
        <v>2</v>
      </c>
      <c r="K28" s="169">
        <f>Data!X31</f>
        <v>4</v>
      </c>
      <c r="L28" s="169">
        <f>Data!Y31</f>
        <v>5</v>
      </c>
      <c r="M28" s="169">
        <f>Data!Z31</f>
        <v>17</v>
      </c>
      <c r="N28" s="169">
        <f>Data!AA31</f>
        <v>46</v>
      </c>
      <c r="O28" s="169">
        <f>Data!AB31</f>
        <v>64</v>
      </c>
      <c r="P28" s="169">
        <f>Data!AC31</f>
        <v>58</v>
      </c>
      <c r="Q28" s="169">
        <f>Data!AD31</f>
        <v>78</v>
      </c>
      <c r="R28" s="169">
        <f>Data!AE31</f>
        <v>59</v>
      </c>
      <c r="S28" s="169">
        <f>Data!AF31</f>
        <v>51</v>
      </c>
      <c r="T28" s="169">
        <f>Data!AG31</f>
        <v>27</v>
      </c>
      <c r="U28" s="169">
        <f>Data!AH31</f>
        <v>20</v>
      </c>
      <c r="V28" s="169">
        <f t="shared" si="0"/>
        <v>436</v>
      </c>
      <c r="W28" s="29"/>
      <c r="X28" s="29"/>
    </row>
    <row r="29" spans="1:24" ht="12" customHeight="1">
      <c r="A29" s="29"/>
      <c r="B29" s="151" t="str">
        <f>UPPER(LEFT(TRIM(Data!B32),1)) &amp; MID(TRIM(Data!B32),2,50)</f>
        <v>Šlapimo pūslės</v>
      </c>
      <c r="C29" s="151" t="str">
        <f>Data!C32</f>
        <v>C67</v>
      </c>
      <c r="D29" s="171">
        <f>Data!Q32</f>
        <v>0</v>
      </c>
      <c r="E29" s="171">
        <f>Data!R32</f>
        <v>0</v>
      </c>
      <c r="F29" s="171">
        <f>Data!S32</f>
        <v>0</v>
      </c>
      <c r="G29" s="171">
        <f>Data!T32</f>
        <v>0</v>
      </c>
      <c r="H29" s="171">
        <f>Data!U32</f>
        <v>0</v>
      </c>
      <c r="I29" s="171">
        <f>Data!V32</f>
        <v>0</v>
      </c>
      <c r="J29" s="171">
        <f>Data!W32</f>
        <v>0</v>
      </c>
      <c r="K29" s="171">
        <f>Data!X32</f>
        <v>1</v>
      </c>
      <c r="L29" s="171">
        <f>Data!Y32</f>
        <v>0</v>
      </c>
      <c r="M29" s="171">
        <f>Data!Z32</f>
        <v>7</v>
      </c>
      <c r="N29" s="171">
        <f>Data!AA32</f>
        <v>11</v>
      </c>
      <c r="O29" s="171">
        <f>Data!AB32</f>
        <v>25</v>
      </c>
      <c r="P29" s="171">
        <f>Data!AC32</f>
        <v>31</v>
      </c>
      <c r="Q29" s="171">
        <f>Data!AD32</f>
        <v>44</v>
      </c>
      <c r="R29" s="171">
        <f>Data!AE32</f>
        <v>49</v>
      </c>
      <c r="S29" s="171">
        <f>Data!AF32</f>
        <v>62</v>
      </c>
      <c r="T29" s="171">
        <f>Data!AG32</f>
        <v>35</v>
      </c>
      <c r="U29" s="171">
        <f>Data!AH32</f>
        <v>35</v>
      </c>
      <c r="V29" s="171">
        <f t="shared" si="0"/>
        <v>300</v>
      </c>
      <c r="W29" s="29"/>
      <c r="X29" s="29"/>
    </row>
    <row r="30" spans="1:24" ht="12" customHeight="1">
      <c r="A30" s="29"/>
      <c r="B30" s="150" t="str">
        <f>UPPER(LEFT(TRIM(Data!B33),1)) &amp; MID(TRIM(Data!B33),2,50)</f>
        <v>Kitų šlapimą išskiriančių organų</v>
      </c>
      <c r="C30" s="150" t="str">
        <f>Data!C33</f>
        <v>C65, C66, C68</v>
      </c>
      <c r="D30" s="169">
        <f>Data!Q33</f>
        <v>0</v>
      </c>
      <c r="E30" s="169">
        <f>Data!R33</f>
        <v>0</v>
      </c>
      <c r="F30" s="169">
        <f>Data!S33</f>
        <v>0</v>
      </c>
      <c r="G30" s="169">
        <f>Data!T33</f>
        <v>0</v>
      </c>
      <c r="H30" s="169">
        <f>Data!U33</f>
        <v>0</v>
      </c>
      <c r="I30" s="169">
        <f>Data!V33</f>
        <v>0</v>
      </c>
      <c r="J30" s="169">
        <f>Data!W33</f>
        <v>0</v>
      </c>
      <c r="K30" s="169">
        <f>Data!X33</f>
        <v>0</v>
      </c>
      <c r="L30" s="169">
        <f>Data!Y33</f>
        <v>0</v>
      </c>
      <c r="M30" s="169">
        <f>Data!Z33</f>
        <v>0</v>
      </c>
      <c r="N30" s="169">
        <f>Data!AA33</f>
        <v>2</v>
      </c>
      <c r="O30" s="169">
        <f>Data!AB33</f>
        <v>0</v>
      </c>
      <c r="P30" s="169">
        <f>Data!AC33</f>
        <v>1</v>
      </c>
      <c r="Q30" s="169">
        <f>Data!AD33</f>
        <v>1</v>
      </c>
      <c r="R30" s="169">
        <f>Data!AE33</f>
        <v>6</v>
      </c>
      <c r="S30" s="169">
        <f>Data!AF33</f>
        <v>7</v>
      </c>
      <c r="T30" s="169">
        <f>Data!AG33</f>
        <v>1</v>
      </c>
      <c r="U30" s="169">
        <f>Data!AH33</f>
        <v>0</v>
      </c>
      <c r="V30" s="169">
        <f t="shared" si="0"/>
        <v>18</v>
      </c>
      <c r="W30" s="29"/>
      <c r="X30" s="29"/>
    </row>
    <row r="31" spans="1:24" ht="12" customHeight="1">
      <c r="A31" s="29"/>
      <c r="B31" s="151" t="str">
        <f>UPPER(LEFT(TRIM(Data!B34),1)) &amp; MID(TRIM(Data!B34),2,50)</f>
        <v>Akių</v>
      </c>
      <c r="C31" s="151" t="str">
        <f>Data!C34</f>
        <v>C69</v>
      </c>
      <c r="D31" s="171">
        <f>Data!Q34</f>
        <v>3</v>
      </c>
      <c r="E31" s="171">
        <f>Data!R34</f>
        <v>0</v>
      </c>
      <c r="F31" s="171">
        <f>Data!S34</f>
        <v>0</v>
      </c>
      <c r="G31" s="171">
        <f>Data!T34</f>
        <v>0</v>
      </c>
      <c r="H31" s="171">
        <f>Data!U34</f>
        <v>0</v>
      </c>
      <c r="I31" s="171">
        <f>Data!V34</f>
        <v>0</v>
      </c>
      <c r="J31" s="171">
        <f>Data!W34</f>
        <v>0</v>
      </c>
      <c r="K31" s="171">
        <f>Data!X34</f>
        <v>0</v>
      </c>
      <c r="L31" s="171">
        <f>Data!Y34</f>
        <v>1</v>
      </c>
      <c r="M31" s="171">
        <f>Data!Z34</f>
        <v>1</v>
      </c>
      <c r="N31" s="171">
        <f>Data!AA34</f>
        <v>0</v>
      </c>
      <c r="O31" s="171">
        <f>Data!AB34</f>
        <v>0</v>
      </c>
      <c r="P31" s="171">
        <f>Data!AC34</f>
        <v>3</v>
      </c>
      <c r="Q31" s="171">
        <f>Data!AD34</f>
        <v>2</v>
      </c>
      <c r="R31" s="171">
        <f>Data!AE34</f>
        <v>3</v>
      </c>
      <c r="S31" s="171">
        <f>Data!AF34</f>
        <v>0</v>
      </c>
      <c r="T31" s="171">
        <f>Data!AG34</f>
        <v>0</v>
      </c>
      <c r="U31" s="171">
        <f>Data!AH34</f>
        <v>0</v>
      </c>
      <c r="V31" s="171">
        <f t="shared" si="0"/>
        <v>13</v>
      </c>
      <c r="W31" s="29"/>
      <c r="X31" s="29"/>
    </row>
    <row r="32" spans="1:24" ht="12" customHeight="1">
      <c r="A32" s="29"/>
      <c r="B32" s="150" t="str">
        <f>UPPER(LEFT(TRIM(Data!B35),1)) &amp; MID(TRIM(Data!B35),2,50)</f>
        <v>Smegenų</v>
      </c>
      <c r="C32" s="150" t="str">
        <f>Data!C35</f>
        <v>C70-C72</v>
      </c>
      <c r="D32" s="169">
        <f>Data!Q35</f>
        <v>3</v>
      </c>
      <c r="E32" s="169">
        <f>Data!R35</f>
        <v>4</v>
      </c>
      <c r="F32" s="169">
        <f>Data!S35</f>
        <v>2</v>
      </c>
      <c r="G32" s="169">
        <f>Data!T35</f>
        <v>1</v>
      </c>
      <c r="H32" s="169">
        <f>Data!U35</f>
        <v>0</v>
      </c>
      <c r="I32" s="169">
        <f>Data!V35</f>
        <v>2</v>
      </c>
      <c r="J32" s="169">
        <f>Data!W35</f>
        <v>4</v>
      </c>
      <c r="K32" s="169">
        <f>Data!X35</f>
        <v>3</v>
      </c>
      <c r="L32" s="169">
        <f>Data!Y35</f>
        <v>5</v>
      </c>
      <c r="M32" s="169">
        <f>Data!Z35</f>
        <v>12</v>
      </c>
      <c r="N32" s="169">
        <f>Data!AA35</f>
        <v>12</v>
      </c>
      <c r="O32" s="169">
        <f>Data!AB35</f>
        <v>17</v>
      </c>
      <c r="P32" s="169">
        <f>Data!AC35</f>
        <v>18</v>
      </c>
      <c r="Q32" s="169">
        <f>Data!AD35</f>
        <v>11</v>
      </c>
      <c r="R32" s="169">
        <f>Data!AE35</f>
        <v>15</v>
      </c>
      <c r="S32" s="169">
        <f>Data!AF35</f>
        <v>11</v>
      </c>
      <c r="T32" s="169">
        <f>Data!AG35</f>
        <v>7</v>
      </c>
      <c r="U32" s="169">
        <f>Data!AH35</f>
        <v>2</v>
      </c>
      <c r="V32" s="169">
        <f t="shared" si="0"/>
        <v>129</v>
      </c>
      <c r="W32" s="29"/>
      <c r="X32" s="29"/>
    </row>
    <row r="33" spans="1:24" ht="12" customHeight="1">
      <c r="A33" s="29"/>
      <c r="B33" s="151" t="str">
        <f>UPPER(LEFT(TRIM(Data!B36),1)) &amp; MID(TRIM(Data!B36),2,50)</f>
        <v>Skydliaukės</v>
      </c>
      <c r="C33" s="151" t="str">
        <f>Data!C36</f>
        <v>C73</v>
      </c>
      <c r="D33" s="171">
        <f>Data!Q36</f>
        <v>0</v>
      </c>
      <c r="E33" s="171">
        <f>Data!R36</f>
        <v>0</v>
      </c>
      <c r="F33" s="171">
        <f>Data!S36</f>
        <v>0</v>
      </c>
      <c r="G33" s="171">
        <f>Data!T36</f>
        <v>1</v>
      </c>
      <c r="H33" s="171">
        <f>Data!U36</f>
        <v>1</v>
      </c>
      <c r="I33" s="171">
        <f>Data!V36</f>
        <v>2</v>
      </c>
      <c r="J33" s="171">
        <f>Data!W36</f>
        <v>3</v>
      </c>
      <c r="K33" s="171">
        <f>Data!X36</f>
        <v>6</v>
      </c>
      <c r="L33" s="171">
        <f>Data!Y36</f>
        <v>6</v>
      </c>
      <c r="M33" s="171">
        <f>Data!Z36</f>
        <v>4</v>
      </c>
      <c r="N33" s="171">
        <f>Data!AA36</f>
        <v>8</v>
      </c>
      <c r="O33" s="171">
        <f>Data!AB36</f>
        <v>7</v>
      </c>
      <c r="P33" s="171">
        <f>Data!AC36</f>
        <v>10</v>
      </c>
      <c r="Q33" s="171">
        <f>Data!AD36</f>
        <v>5</v>
      </c>
      <c r="R33" s="171">
        <f>Data!AE36</f>
        <v>5</v>
      </c>
      <c r="S33" s="171">
        <f>Data!AF36</f>
        <v>4</v>
      </c>
      <c r="T33" s="171">
        <f>Data!AG36</f>
        <v>0</v>
      </c>
      <c r="U33" s="171">
        <f>Data!AH36</f>
        <v>0</v>
      </c>
      <c r="V33" s="171">
        <f t="shared" si="0"/>
        <v>62</v>
      </c>
      <c r="W33" s="29"/>
      <c r="X33" s="29"/>
    </row>
    <row r="34" spans="1:24" ht="12" customHeight="1">
      <c r="A34" s="29"/>
      <c r="B34" s="150" t="str">
        <f>UPPER(LEFT(TRIM(Data!B37),1)) &amp; MID(TRIM(Data!B37),2,50)</f>
        <v>Kitų endokrininių liaukų</v>
      </c>
      <c r="C34" s="150" t="str">
        <f>Data!C37</f>
        <v>C74-C75</v>
      </c>
      <c r="D34" s="169">
        <f>Data!Q37</f>
        <v>1</v>
      </c>
      <c r="E34" s="169">
        <f>Data!R37</f>
        <v>0</v>
      </c>
      <c r="F34" s="169">
        <f>Data!S37</f>
        <v>0</v>
      </c>
      <c r="G34" s="169">
        <f>Data!T37</f>
        <v>0</v>
      </c>
      <c r="H34" s="169">
        <f>Data!U37</f>
        <v>0</v>
      </c>
      <c r="I34" s="169">
        <f>Data!V37</f>
        <v>0</v>
      </c>
      <c r="J34" s="169">
        <f>Data!W37</f>
        <v>0</v>
      </c>
      <c r="K34" s="169">
        <f>Data!X37</f>
        <v>0</v>
      </c>
      <c r="L34" s="169">
        <f>Data!Y37</f>
        <v>0</v>
      </c>
      <c r="M34" s="169">
        <f>Data!Z37</f>
        <v>0</v>
      </c>
      <c r="N34" s="169">
        <f>Data!AA37</f>
        <v>1</v>
      </c>
      <c r="O34" s="169">
        <f>Data!AB37</f>
        <v>1</v>
      </c>
      <c r="P34" s="169">
        <f>Data!AC37</f>
        <v>0</v>
      </c>
      <c r="Q34" s="169">
        <f>Data!AD37</f>
        <v>2</v>
      </c>
      <c r="R34" s="169">
        <f>Data!AE37</f>
        <v>3</v>
      </c>
      <c r="S34" s="169">
        <f>Data!AF37</f>
        <v>3</v>
      </c>
      <c r="T34" s="169">
        <f>Data!AG37</f>
        <v>0</v>
      </c>
      <c r="U34" s="169">
        <f>Data!AH37</f>
        <v>2</v>
      </c>
      <c r="V34" s="169">
        <f t="shared" si="0"/>
        <v>13</v>
      </c>
      <c r="W34" s="29"/>
      <c r="X34" s="29"/>
    </row>
    <row r="35" spans="1:24" ht="12" customHeight="1">
      <c r="A35" s="29"/>
      <c r="B35" s="151" t="str">
        <f>UPPER(LEFT(TRIM(Data!B38),1)) &amp; MID(TRIM(Data!B38),2,50)</f>
        <v>Nepatikslintos lokalizacijos</v>
      </c>
      <c r="C35" s="151" t="str">
        <f>Data!C38</f>
        <v>C76-C80</v>
      </c>
      <c r="D35" s="171">
        <f>Data!Q38</f>
        <v>0</v>
      </c>
      <c r="E35" s="171">
        <f>Data!R38</f>
        <v>0</v>
      </c>
      <c r="F35" s="171">
        <f>Data!S38</f>
        <v>0</v>
      </c>
      <c r="G35" s="171">
        <f>Data!T38</f>
        <v>0</v>
      </c>
      <c r="H35" s="171">
        <f>Data!U38</f>
        <v>0</v>
      </c>
      <c r="I35" s="171">
        <f>Data!V38</f>
        <v>0</v>
      </c>
      <c r="J35" s="171">
        <f>Data!W38</f>
        <v>0</v>
      </c>
      <c r="K35" s="171">
        <f>Data!X38</f>
        <v>1</v>
      </c>
      <c r="L35" s="171">
        <f>Data!Y38</f>
        <v>2</v>
      </c>
      <c r="M35" s="171">
        <f>Data!Z38</f>
        <v>1</v>
      </c>
      <c r="N35" s="171">
        <f>Data!AA38</f>
        <v>12</v>
      </c>
      <c r="O35" s="171">
        <f>Data!AB38</f>
        <v>31</v>
      </c>
      <c r="P35" s="171">
        <f>Data!AC38</f>
        <v>26</v>
      </c>
      <c r="Q35" s="171">
        <f>Data!AD38</f>
        <v>39</v>
      </c>
      <c r="R35" s="171">
        <f>Data!AE38</f>
        <v>42</v>
      </c>
      <c r="S35" s="171">
        <f>Data!AF38</f>
        <v>35</v>
      </c>
      <c r="T35" s="171">
        <f>Data!AG38</f>
        <v>23</v>
      </c>
      <c r="U35" s="171">
        <f>Data!AH38</f>
        <v>15</v>
      </c>
      <c r="V35" s="171">
        <f t="shared" si="0"/>
        <v>227</v>
      </c>
      <c r="W35" s="29"/>
      <c r="X35" s="29"/>
    </row>
    <row r="36" spans="1:24" ht="12" customHeight="1">
      <c r="A36" s="29"/>
      <c r="B36" s="150" t="str">
        <f>UPPER(LEFT(TRIM(Data!B39),1)) &amp; MID(TRIM(Data!B39),2,50)</f>
        <v>Hodžkino limfomos</v>
      </c>
      <c r="C36" s="150" t="str">
        <f>Data!C39</f>
        <v>C81</v>
      </c>
      <c r="D36" s="169">
        <f>Data!Q39</f>
        <v>0</v>
      </c>
      <c r="E36" s="169">
        <f>Data!R39</f>
        <v>0</v>
      </c>
      <c r="F36" s="169">
        <f>Data!S39</f>
        <v>0</v>
      </c>
      <c r="G36" s="169">
        <f>Data!T39</f>
        <v>0</v>
      </c>
      <c r="H36" s="169">
        <f>Data!U39</f>
        <v>4</v>
      </c>
      <c r="I36" s="169">
        <f>Data!V39</f>
        <v>3</v>
      </c>
      <c r="J36" s="169">
        <f>Data!W39</f>
        <v>3</v>
      </c>
      <c r="K36" s="169">
        <f>Data!X39</f>
        <v>0</v>
      </c>
      <c r="L36" s="169">
        <f>Data!Y39</f>
        <v>2</v>
      </c>
      <c r="M36" s="169">
        <f>Data!Z39</f>
        <v>0</v>
      </c>
      <c r="N36" s="169">
        <f>Data!AA39</f>
        <v>1</v>
      </c>
      <c r="O36" s="169">
        <f>Data!AB39</f>
        <v>0</v>
      </c>
      <c r="P36" s="169">
        <f>Data!AC39</f>
        <v>0</v>
      </c>
      <c r="Q36" s="169">
        <f>Data!AD39</f>
        <v>2</v>
      </c>
      <c r="R36" s="169">
        <f>Data!AE39</f>
        <v>1</v>
      </c>
      <c r="S36" s="169">
        <f>Data!AF39</f>
        <v>0</v>
      </c>
      <c r="T36" s="169">
        <f>Data!AG39</f>
        <v>1</v>
      </c>
      <c r="U36" s="169">
        <f>Data!AH39</f>
        <v>1</v>
      </c>
      <c r="V36" s="169">
        <f t="shared" si="0"/>
        <v>18</v>
      </c>
      <c r="W36" s="29"/>
      <c r="X36" s="29"/>
    </row>
    <row r="37" spans="1:24" ht="12" customHeight="1">
      <c r="A37" s="29"/>
      <c r="B37" s="151" t="str">
        <f>UPPER(LEFT(TRIM(Data!B40),1)) &amp; MID(TRIM(Data!B40),2,50)</f>
        <v>Ne Hodžkino limfomos</v>
      </c>
      <c r="C37" s="151" t="str">
        <f>Data!C40</f>
        <v>C82-C85</v>
      </c>
      <c r="D37" s="171">
        <f>Data!Q40</f>
        <v>2</v>
      </c>
      <c r="E37" s="171">
        <f>Data!R40</f>
        <v>1</v>
      </c>
      <c r="F37" s="171">
        <f>Data!S40</f>
        <v>3</v>
      </c>
      <c r="G37" s="171">
        <f>Data!T40</f>
        <v>1</v>
      </c>
      <c r="H37" s="171">
        <f>Data!U40</f>
        <v>1</v>
      </c>
      <c r="I37" s="171">
        <f>Data!V40</f>
        <v>2</v>
      </c>
      <c r="J37" s="171">
        <f>Data!W40</f>
        <v>9</v>
      </c>
      <c r="K37" s="171">
        <f>Data!X40</f>
        <v>7</v>
      </c>
      <c r="L37" s="171">
        <f>Data!Y40</f>
        <v>5</v>
      </c>
      <c r="M37" s="171">
        <f>Data!Z40</f>
        <v>5</v>
      </c>
      <c r="N37" s="171">
        <f>Data!AA40</f>
        <v>4</v>
      </c>
      <c r="O37" s="171">
        <f>Data!AB40</f>
        <v>28</v>
      </c>
      <c r="P37" s="171">
        <f>Data!AC40</f>
        <v>20</v>
      </c>
      <c r="Q37" s="171">
        <f>Data!AD40</f>
        <v>20</v>
      </c>
      <c r="R37" s="171">
        <f>Data!AE40</f>
        <v>17</v>
      </c>
      <c r="S37" s="171">
        <f>Data!AF40</f>
        <v>13</v>
      </c>
      <c r="T37" s="171">
        <f>Data!AG40</f>
        <v>18</v>
      </c>
      <c r="U37" s="171">
        <f>Data!AH40</f>
        <v>9</v>
      </c>
      <c r="V37" s="171">
        <f t="shared" si="0"/>
        <v>165</v>
      </c>
      <c r="W37" s="29"/>
      <c r="X37" s="29"/>
    </row>
    <row r="38" spans="1:24" ht="12" customHeight="1">
      <c r="A38" s="29"/>
      <c r="B38" s="150" t="str">
        <f>UPPER(LEFT(TRIM(Data!B41),1)) &amp; MID(TRIM(Data!B41),2,50)</f>
        <v>Mielominės ligos</v>
      </c>
      <c r="C38" s="150" t="str">
        <f>Data!C41</f>
        <v>C90</v>
      </c>
      <c r="D38" s="169">
        <f>Data!Q41</f>
        <v>0</v>
      </c>
      <c r="E38" s="169">
        <f>Data!R41</f>
        <v>0</v>
      </c>
      <c r="F38" s="169">
        <f>Data!S41</f>
        <v>0</v>
      </c>
      <c r="G38" s="169">
        <f>Data!T41</f>
        <v>0</v>
      </c>
      <c r="H38" s="169">
        <f>Data!U41</f>
        <v>0</v>
      </c>
      <c r="I38" s="169">
        <f>Data!V41</f>
        <v>0</v>
      </c>
      <c r="J38" s="169">
        <f>Data!W41</f>
        <v>0</v>
      </c>
      <c r="K38" s="169">
        <f>Data!X41</f>
        <v>0</v>
      </c>
      <c r="L38" s="169">
        <f>Data!Y41</f>
        <v>2</v>
      </c>
      <c r="M38" s="169">
        <f>Data!Z41</f>
        <v>1</v>
      </c>
      <c r="N38" s="169">
        <f>Data!AA41</f>
        <v>2</v>
      </c>
      <c r="O38" s="169">
        <f>Data!AB41</f>
        <v>11</v>
      </c>
      <c r="P38" s="169">
        <f>Data!AC41</f>
        <v>6</v>
      </c>
      <c r="Q38" s="169">
        <f>Data!AD41</f>
        <v>6</v>
      </c>
      <c r="R38" s="169">
        <f>Data!AE41</f>
        <v>15</v>
      </c>
      <c r="S38" s="169">
        <f>Data!AF41</f>
        <v>14</v>
      </c>
      <c r="T38" s="169">
        <f>Data!AG41</f>
        <v>15</v>
      </c>
      <c r="U38" s="169">
        <f>Data!AH41</f>
        <v>6</v>
      </c>
      <c r="V38" s="169">
        <f t="shared" si="0"/>
        <v>78</v>
      </c>
      <c r="W38" s="29"/>
      <c r="X38" s="29"/>
    </row>
    <row r="39" spans="1:24" ht="12" customHeight="1">
      <c r="A39" s="29"/>
      <c r="B39" s="151" t="str">
        <f>UPPER(LEFT(TRIM(Data!B42),1)) &amp; MID(TRIM(Data!B42),2,50)</f>
        <v>Leukemijos</v>
      </c>
      <c r="C39" s="151" t="str">
        <f>Data!C42</f>
        <v>C91-C95</v>
      </c>
      <c r="D39" s="171">
        <f>Data!Q42</f>
        <v>8</v>
      </c>
      <c r="E39" s="171">
        <f>Data!R42</f>
        <v>3</v>
      </c>
      <c r="F39" s="171">
        <f>Data!S42</f>
        <v>2</v>
      </c>
      <c r="G39" s="171">
        <f>Data!T42</f>
        <v>2</v>
      </c>
      <c r="H39" s="171">
        <f>Data!U42</f>
        <v>2</v>
      </c>
      <c r="I39" s="171">
        <f>Data!V42</f>
        <v>8</v>
      </c>
      <c r="J39" s="171">
        <f>Data!W42</f>
        <v>3</v>
      </c>
      <c r="K39" s="171">
        <f>Data!X42</f>
        <v>2</v>
      </c>
      <c r="L39" s="171">
        <f>Data!Y42</f>
        <v>7</v>
      </c>
      <c r="M39" s="171">
        <f>Data!Z42</f>
        <v>7</v>
      </c>
      <c r="N39" s="171">
        <f>Data!AA42</f>
        <v>18</v>
      </c>
      <c r="O39" s="171">
        <f>Data!AB42</f>
        <v>24</v>
      </c>
      <c r="P39" s="171">
        <f>Data!AC42</f>
        <v>23</v>
      </c>
      <c r="Q39" s="171">
        <f>Data!AD42</f>
        <v>35</v>
      </c>
      <c r="R39" s="171">
        <f>Data!AE42</f>
        <v>36</v>
      </c>
      <c r="S39" s="171">
        <f>Data!AF42</f>
        <v>29</v>
      </c>
      <c r="T39" s="171">
        <f>Data!AG42</f>
        <v>23</v>
      </c>
      <c r="U39" s="171">
        <f>Data!AH42</f>
        <v>17</v>
      </c>
      <c r="V39" s="171">
        <f t="shared" si="0"/>
        <v>249</v>
      </c>
      <c r="W39" s="29"/>
      <c r="X39" s="29"/>
    </row>
    <row r="40" spans="1:24" ht="12" customHeight="1">
      <c r="A40" s="29"/>
      <c r="B40" s="150" t="str">
        <f>UPPER(LEFT(TRIM(Data!B43),1)) &amp; MID(TRIM(Data!B43),2,50)</f>
        <v>Kiti limfinio, kraujodaros audinių</v>
      </c>
      <c r="C40" s="150" t="str">
        <f>Data!C43</f>
        <v>C88, C96</v>
      </c>
      <c r="D40" s="169">
        <f>Data!Q43</f>
        <v>0</v>
      </c>
      <c r="E40" s="169">
        <f>Data!R43</f>
        <v>0</v>
      </c>
      <c r="F40" s="169">
        <f>Data!S43</f>
        <v>0</v>
      </c>
      <c r="G40" s="169">
        <f>Data!T43</f>
        <v>0</v>
      </c>
      <c r="H40" s="169">
        <f>Data!U43</f>
        <v>1</v>
      </c>
      <c r="I40" s="169">
        <f>Data!V43</f>
        <v>0</v>
      </c>
      <c r="J40" s="169">
        <f>Data!W43</f>
        <v>0</v>
      </c>
      <c r="K40" s="169">
        <f>Data!X43</f>
        <v>0</v>
      </c>
      <c r="L40" s="169">
        <f>Data!Y43</f>
        <v>0</v>
      </c>
      <c r="M40" s="169">
        <f>Data!Z43</f>
        <v>1</v>
      </c>
      <c r="N40" s="169">
        <f>Data!AA43</f>
        <v>0</v>
      </c>
      <c r="O40" s="169">
        <f>Data!AB43</f>
        <v>0</v>
      </c>
      <c r="P40" s="169">
        <f>Data!AC43</f>
        <v>0</v>
      </c>
      <c r="Q40" s="169">
        <f>Data!AD43</f>
        <v>1</v>
      </c>
      <c r="R40" s="169">
        <f>Data!AE43</f>
        <v>1</v>
      </c>
      <c r="S40" s="169">
        <f>Data!AF43</f>
        <v>1</v>
      </c>
      <c r="T40" s="169">
        <f>Data!AG43</f>
        <v>0</v>
      </c>
      <c r="U40" s="169">
        <f>Data!AH43</f>
        <v>0</v>
      </c>
      <c r="V40" s="169">
        <f t="shared" si="0"/>
        <v>5</v>
      </c>
      <c r="W40" s="29"/>
      <c r="X40" s="29"/>
    </row>
    <row r="41" spans="1:24" ht="24" customHeight="1">
      <c r="A41" s="29"/>
      <c r="B41" s="149"/>
      <c r="C41" s="149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29"/>
      <c r="X41" s="29"/>
    </row>
    <row r="42" spans="1:24" ht="12" customHeight="1">
      <c r="A42" s="29"/>
      <c r="B42" s="150" t="str">
        <f>UPPER(LEFT(TRIM(Data!B44),1)) &amp; MID(TRIM(Data!B44),2,50)</f>
        <v>Melanoma in situ</v>
      </c>
      <c r="C42" s="150" t="str">
        <f>Data!C44</f>
        <v>D03</v>
      </c>
      <c r="D42" s="169">
        <f>Data!Q44</f>
        <v>0</v>
      </c>
      <c r="E42" s="169">
        <f>Data!R44</f>
        <v>0</v>
      </c>
      <c r="F42" s="169">
        <f>Data!S44</f>
        <v>0</v>
      </c>
      <c r="G42" s="169">
        <f>Data!T44</f>
        <v>0</v>
      </c>
      <c r="H42" s="169">
        <f>Data!U44</f>
        <v>0</v>
      </c>
      <c r="I42" s="169">
        <f>Data!V44</f>
        <v>0</v>
      </c>
      <c r="J42" s="169">
        <f>Data!W44</f>
        <v>0</v>
      </c>
      <c r="K42" s="169">
        <f>Data!X44</f>
        <v>1</v>
      </c>
      <c r="L42" s="169">
        <f>Data!Y44</f>
        <v>1</v>
      </c>
      <c r="M42" s="169">
        <f>Data!Z44</f>
        <v>3</v>
      </c>
      <c r="N42" s="169">
        <f>Data!AA44</f>
        <v>2</v>
      </c>
      <c r="O42" s="169">
        <f>Data!AB44</f>
        <v>1</v>
      </c>
      <c r="P42" s="169">
        <f>Data!AC44</f>
        <v>1</v>
      </c>
      <c r="Q42" s="169">
        <f>Data!AD44</f>
        <v>1</v>
      </c>
      <c r="R42" s="169">
        <f>Data!AE44</f>
        <v>1</v>
      </c>
      <c r="S42" s="169">
        <f>Data!AF44</f>
        <v>0</v>
      </c>
      <c r="T42" s="169">
        <f>Data!AG44</f>
        <v>1</v>
      </c>
      <c r="U42" s="169">
        <f>Data!AH44</f>
        <v>1</v>
      </c>
      <c r="V42" s="169">
        <f t="shared" si="0"/>
        <v>13</v>
      </c>
      <c r="W42" s="29"/>
      <c r="X42" s="29"/>
    </row>
    <row r="43" spans="1:24" ht="12" customHeight="1">
      <c r="A43" s="29"/>
      <c r="B43" s="151" t="str">
        <f>UPPER(LEFT(TRIM(Data!B45),1)) &amp; MID(TRIM(Data!B45),2,50)</f>
        <v>Krūties navikai in situ</v>
      </c>
      <c r="C43" s="151" t="str">
        <f>Data!C45</f>
        <v>D05</v>
      </c>
      <c r="D43" s="171">
        <f>Data!Q45</f>
        <v>0</v>
      </c>
      <c r="E43" s="171">
        <f>Data!R45</f>
        <v>0</v>
      </c>
      <c r="F43" s="171">
        <f>Data!S45</f>
        <v>0</v>
      </c>
      <c r="G43" s="171">
        <f>Data!T45</f>
        <v>0</v>
      </c>
      <c r="H43" s="171">
        <f>Data!U45</f>
        <v>0</v>
      </c>
      <c r="I43" s="171">
        <f>Data!V45</f>
        <v>0</v>
      </c>
      <c r="J43" s="171">
        <f>Data!W45</f>
        <v>0</v>
      </c>
      <c r="K43" s="171">
        <f>Data!X45</f>
        <v>0</v>
      </c>
      <c r="L43" s="171">
        <f>Data!Y45</f>
        <v>0</v>
      </c>
      <c r="M43" s="171">
        <f>Data!Z45</f>
        <v>0</v>
      </c>
      <c r="N43" s="171">
        <f>Data!AA45</f>
        <v>0</v>
      </c>
      <c r="O43" s="171">
        <f>Data!AB45</f>
        <v>0</v>
      </c>
      <c r="P43" s="171">
        <f>Data!AC45</f>
        <v>0</v>
      </c>
      <c r="Q43" s="171">
        <f>Data!AD45</f>
        <v>0</v>
      </c>
      <c r="R43" s="171">
        <f>Data!AE45</f>
        <v>0</v>
      </c>
      <c r="S43" s="171">
        <f>Data!AF45</f>
        <v>0</v>
      </c>
      <c r="T43" s="171">
        <f>Data!AG45</f>
        <v>0</v>
      </c>
      <c r="U43" s="171">
        <f>Data!AH45</f>
        <v>0</v>
      </c>
      <c r="V43" s="171">
        <f t="shared" si="0"/>
        <v>0</v>
      </c>
      <c r="W43" s="29"/>
      <c r="X43" s="29"/>
    </row>
    <row r="44" spans="1:24" ht="12" customHeight="1">
      <c r="A44" s="29"/>
      <c r="B44" s="150" t="str">
        <f>UPPER(LEFT(TRIM(Data!B47),1)) &amp; MID(TRIM(Data!B47),2,50)</f>
        <v>Šlapimo pūslės in situ</v>
      </c>
      <c r="C44" s="150" t="str">
        <f>Data!C47</f>
        <v>D09.0</v>
      </c>
      <c r="D44" s="169">
        <f>Data!Q47</f>
        <v>0</v>
      </c>
      <c r="E44" s="169">
        <f>Data!R47</f>
        <v>0</v>
      </c>
      <c r="F44" s="169">
        <f>Data!S47</f>
        <v>0</v>
      </c>
      <c r="G44" s="169">
        <f>Data!T47</f>
        <v>1</v>
      </c>
      <c r="H44" s="169">
        <f>Data!U47</f>
        <v>1</v>
      </c>
      <c r="I44" s="169">
        <f>Data!V47</f>
        <v>1</v>
      </c>
      <c r="J44" s="169">
        <f>Data!W47</f>
        <v>0</v>
      </c>
      <c r="K44" s="169">
        <f>Data!X47</f>
        <v>0</v>
      </c>
      <c r="L44" s="169">
        <f>Data!Y47</f>
        <v>2</v>
      </c>
      <c r="M44" s="169">
        <f>Data!Z47</f>
        <v>2</v>
      </c>
      <c r="N44" s="169">
        <f>Data!AA47</f>
        <v>9</v>
      </c>
      <c r="O44" s="169">
        <f>Data!AB47</f>
        <v>14</v>
      </c>
      <c r="P44" s="169">
        <f>Data!AC47</f>
        <v>12</v>
      </c>
      <c r="Q44" s="169">
        <f>Data!AD47</f>
        <v>25</v>
      </c>
      <c r="R44" s="169">
        <f>Data!AE47</f>
        <v>15</v>
      </c>
      <c r="S44" s="169">
        <f>Data!AF47</f>
        <v>19</v>
      </c>
      <c r="T44" s="169">
        <f>Data!AG47</f>
        <v>5</v>
      </c>
      <c r="U44" s="169">
        <f>Data!AH47</f>
        <v>2</v>
      </c>
      <c r="V44" s="169">
        <f t="shared" si="0"/>
        <v>108</v>
      </c>
      <c r="W44" s="29"/>
      <c r="X44" s="29"/>
    </row>
    <row r="45" spans="1:24" ht="12" customHeight="1">
      <c r="A45" s="29"/>
      <c r="B45" s="151" t="str">
        <f>UPPER(LEFT(TRIM(Data!B48),1)) &amp; MID(TRIM(Data!B48),2,50)</f>
        <v>Nervų sistemos gerybiniai navikai</v>
      </c>
      <c r="C45" s="151" t="str">
        <f>Data!C48</f>
        <v>D32, D33</v>
      </c>
      <c r="D45" s="171">
        <f>Data!Q48</f>
        <v>1</v>
      </c>
      <c r="E45" s="171">
        <f>Data!R48</f>
        <v>0</v>
      </c>
      <c r="F45" s="171">
        <f>Data!S48</f>
        <v>1</v>
      </c>
      <c r="G45" s="171">
        <f>Data!T48</f>
        <v>0</v>
      </c>
      <c r="H45" s="171">
        <f>Data!U48</f>
        <v>1</v>
      </c>
      <c r="I45" s="171">
        <f>Data!V48</f>
        <v>1</v>
      </c>
      <c r="J45" s="171">
        <f>Data!W48</f>
        <v>2</v>
      </c>
      <c r="K45" s="171">
        <f>Data!X48</f>
        <v>2</v>
      </c>
      <c r="L45" s="171">
        <f>Data!Y48</f>
        <v>5</v>
      </c>
      <c r="M45" s="171">
        <f>Data!Z48</f>
        <v>1</v>
      </c>
      <c r="N45" s="171">
        <f>Data!AA48</f>
        <v>7</v>
      </c>
      <c r="O45" s="171">
        <f>Data!AB48</f>
        <v>8</v>
      </c>
      <c r="P45" s="171">
        <f>Data!AC48</f>
        <v>5</v>
      </c>
      <c r="Q45" s="171">
        <f>Data!AD48</f>
        <v>4</v>
      </c>
      <c r="R45" s="171">
        <f>Data!AE48</f>
        <v>5</v>
      </c>
      <c r="S45" s="171">
        <f>Data!AF48</f>
        <v>6</v>
      </c>
      <c r="T45" s="171">
        <f>Data!AG48</f>
        <v>4</v>
      </c>
      <c r="U45" s="171">
        <f>Data!AH48</f>
        <v>2</v>
      </c>
      <c r="V45" s="171">
        <f t="shared" si="0"/>
        <v>55</v>
      </c>
      <c r="W45" s="29"/>
      <c r="X45" s="29"/>
    </row>
    <row r="46" spans="1:24" ht="12" customHeight="1">
      <c r="A46" s="29"/>
      <c r="B46" s="150" t="str">
        <f>UPPER(LEFT(TRIM(Data!B50),1)) &amp; MID(TRIM(Data!B50),2,50)</f>
        <v>Kiti nervų sistemos</v>
      </c>
      <c r="C46" s="150" t="str">
        <f>Data!C50</f>
        <v>D42, D43</v>
      </c>
      <c r="D46" s="169">
        <f>Data!Q50</f>
        <v>3</v>
      </c>
      <c r="E46" s="169">
        <f>Data!R50</f>
        <v>0</v>
      </c>
      <c r="F46" s="169">
        <f>Data!S50</f>
        <v>0</v>
      </c>
      <c r="G46" s="169">
        <f>Data!T50</f>
        <v>0</v>
      </c>
      <c r="H46" s="169">
        <f>Data!U50</f>
        <v>0</v>
      </c>
      <c r="I46" s="169">
        <f>Data!V50</f>
        <v>0</v>
      </c>
      <c r="J46" s="169">
        <f>Data!W50</f>
        <v>2</v>
      </c>
      <c r="K46" s="169">
        <f>Data!X50</f>
        <v>0</v>
      </c>
      <c r="L46" s="169">
        <f>Data!Y50</f>
        <v>2</v>
      </c>
      <c r="M46" s="169">
        <f>Data!Z50</f>
        <v>2</v>
      </c>
      <c r="N46" s="169">
        <f>Data!AA50</f>
        <v>2</v>
      </c>
      <c r="O46" s="169">
        <f>Data!AB50</f>
        <v>0</v>
      </c>
      <c r="P46" s="169">
        <f>Data!AC50</f>
        <v>1</v>
      </c>
      <c r="Q46" s="169">
        <f>Data!AD50</f>
        <v>0</v>
      </c>
      <c r="R46" s="169">
        <f>Data!AE50</f>
        <v>2</v>
      </c>
      <c r="S46" s="169">
        <f>Data!AF50</f>
        <v>3</v>
      </c>
      <c r="T46" s="169">
        <f>Data!AG50</f>
        <v>2</v>
      </c>
      <c r="U46" s="169">
        <f>Data!AH50</f>
        <v>0</v>
      </c>
      <c r="V46" s="169">
        <f t="shared" si="0"/>
        <v>19</v>
      </c>
      <c r="W46" s="29"/>
      <c r="X46" s="29"/>
    </row>
    <row r="47" spans="1:24" ht="12" customHeight="1">
      <c r="A47" s="29"/>
      <c r="B47" s="151" t="str">
        <f>UPPER(LEFT(TRIM(Data!B51),1)) &amp; MID(TRIM(Data!B51),2,50)</f>
        <v>Limfinio ir kraujodaros audinių</v>
      </c>
      <c r="C47" s="151" t="str">
        <f>Data!C51</f>
        <v>D45-D47</v>
      </c>
      <c r="D47" s="171">
        <f>Data!Q51</f>
        <v>0</v>
      </c>
      <c r="E47" s="171">
        <f>Data!R51</f>
        <v>1</v>
      </c>
      <c r="F47" s="171">
        <f>Data!S51</f>
        <v>0</v>
      </c>
      <c r="G47" s="171">
        <f>Data!T51</f>
        <v>0</v>
      </c>
      <c r="H47" s="171">
        <f>Data!U51</f>
        <v>0</v>
      </c>
      <c r="I47" s="171">
        <f>Data!V51</f>
        <v>2</v>
      </c>
      <c r="J47" s="171">
        <f>Data!W51</f>
        <v>1</v>
      </c>
      <c r="K47" s="171">
        <f>Data!X51</f>
        <v>2</v>
      </c>
      <c r="L47" s="171">
        <f>Data!Y51</f>
        <v>3</v>
      </c>
      <c r="M47" s="171">
        <f>Data!Z51</f>
        <v>7</v>
      </c>
      <c r="N47" s="171">
        <f>Data!AA51</f>
        <v>9</v>
      </c>
      <c r="O47" s="171">
        <f>Data!AB51</f>
        <v>13</v>
      </c>
      <c r="P47" s="171">
        <f>Data!AC51</f>
        <v>16</v>
      </c>
      <c r="Q47" s="171">
        <f>Data!AD51</f>
        <v>18</v>
      </c>
      <c r="R47" s="171">
        <f>Data!AE51</f>
        <v>27</v>
      </c>
      <c r="S47" s="171">
        <f>Data!AF51</f>
        <v>35</v>
      </c>
      <c r="T47" s="171">
        <f>Data!AG51</f>
        <v>21</v>
      </c>
      <c r="U47" s="171">
        <f>Data!AH51</f>
        <v>16</v>
      </c>
      <c r="V47" s="171">
        <f t="shared" si="0"/>
        <v>171</v>
      </c>
      <c r="W47" s="29"/>
      <c r="X47" s="29"/>
    </row>
    <row r="48" spans="1:24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  <row r="49" spans="1:24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</row>
  </sheetData>
  <mergeCells count="4">
    <mergeCell ref="D4:U4"/>
    <mergeCell ref="B4:B5"/>
    <mergeCell ref="C4:C5"/>
    <mergeCell ref="V4:V5"/>
  </mergeCells>
  <phoneticPr fontId="13" type="noConversion"/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0.39997558519241921"/>
  </sheetPr>
  <dimension ref="A1:W53"/>
  <sheetViews>
    <sheetView zoomScaleNormal="100" workbookViewId="0">
      <selection activeCell="K2" sqref="K2"/>
    </sheetView>
  </sheetViews>
  <sheetFormatPr defaultRowHeight="12.75"/>
  <cols>
    <col min="1" max="1" width="1.85546875" customWidth="1"/>
    <col min="2" max="2" width="28.7109375" customWidth="1"/>
    <col min="3" max="3" width="23.7109375" customWidth="1"/>
    <col min="4" max="21" width="6" customWidth="1"/>
    <col min="22" max="22" width="6.42578125" customWidth="1"/>
    <col min="23" max="33" width="0.85546875" customWidth="1"/>
  </cols>
  <sheetData>
    <row r="1" spans="1:23" ht="15">
      <c r="A1" s="65"/>
      <c r="B1" s="432" t="s">
        <v>403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5"/>
      <c r="O1" s="65"/>
      <c r="P1" s="65"/>
      <c r="Q1" s="65"/>
      <c r="R1" s="65"/>
      <c r="S1" s="65"/>
      <c r="T1" s="65"/>
      <c r="U1" s="65"/>
      <c r="V1" s="67"/>
      <c r="W1" s="67"/>
    </row>
    <row r="2" spans="1:23" ht="12.75" customHeight="1">
      <c r="A2" s="65"/>
      <c r="B2" s="70" t="str">
        <f>"Susirgimų piktybiniais navikais pasiskirstymas pagal amžiaus grupes  " &amp; GrafikaiSerg!A1 &amp; " m. Moterys."</f>
        <v>Susirgimų piktybiniais navikais pasiskirstymas pagal amžiaus grupes  2015 m. Moterys.</v>
      </c>
      <c r="C2" s="75"/>
      <c r="D2" s="66"/>
      <c r="E2" s="66"/>
      <c r="F2" s="66"/>
      <c r="G2" s="66"/>
      <c r="H2" s="66"/>
      <c r="I2" s="66"/>
      <c r="J2" s="66"/>
      <c r="K2" s="66"/>
      <c r="L2" s="66"/>
      <c r="M2" s="66"/>
      <c r="N2" s="65"/>
      <c r="O2" s="65"/>
      <c r="P2" s="65"/>
      <c r="Q2" s="65"/>
      <c r="R2" s="65"/>
      <c r="S2" s="65"/>
      <c r="T2" s="65"/>
      <c r="U2" s="65"/>
      <c r="V2" s="67"/>
      <c r="W2" s="67"/>
    </row>
    <row r="3" spans="1:23" ht="12.75" customHeight="1">
      <c r="A3" s="65"/>
      <c r="B3" s="69"/>
      <c r="C3" s="69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7"/>
      <c r="W3" s="67"/>
    </row>
    <row r="4" spans="1:23" ht="12.95" customHeight="1">
      <c r="A4" s="65"/>
      <c r="B4" s="524" t="s">
        <v>243</v>
      </c>
      <c r="C4" s="524" t="s">
        <v>244</v>
      </c>
      <c r="D4" s="529" t="s">
        <v>419</v>
      </c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28"/>
      <c r="V4" s="534" t="s">
        <v>427</v>
      </c>
      <c r="W4" s="67"/>
    </row>
    <row r="5" spans="1:23" ht="12.95" customHeight="1" thickBot="1">
      <c r="A5" s="65"/>
      <c r="B5" s="525"/>
      <c r="C5" s="525"/>
      <c r="D5" s="173" t="str">
        <f>Data!CD2</f>
        <v xml:space="preserve">0-4 </v>
      </c>
      <c r="E5" s="173" t="str">
        <f>Data!CE2</f>
        <v>5-9</v>
      </c>
      <c r="F5" s="173" t="str">
        <f>Data!CF2</f>
        <v>10-14</v>
      </c>
      <c r="G5" s="173" t="str">
        <f>Data!CG2</f>
        <v>15-19</v>
      </c>
      <c r="H5" s="173" t="str">
        <f>Data!CH2</f>
        <v>20-24</v>
      </c>
      <c r="I5" s="173" t="str">
        <f>Data!CI2</f>
        <v>25-29</v>
      </c>
      <c r="J5" s="173" t="str">
        <f>Data!CJ2</f>
        <v>30-34</v>
      </c>
      <c r="K5" s="173" t="str">
        <f>Data!CK2</f>
        <v>35-39</v>
      </c>
      <c r="L5" s="173" t="str">
        <f>Data!CL2</f>
        <v>40-44</v>
      </c>
      <c r="M5" s="173" t="str">
        <f>Data!CM2</f>
        <v>45-49</v>
      </c>
      <c r="N5" s="173" t="str">
        <f>Data!CN2</f>
        <v>50-54</v>
      </c>
      <c r="O5" s="173" t="str">
        <f>Data!CO2</f>
        <v>55-59</v>
      </c>
      <c r="P5" s="173" t="str">
        <f>Data!CP2</f>
        <v>60-64</v>
      </c>
      <c r="Q5" s="173" t="str">
        <f>Data!CQ2</f>
        <v>65-69</v>
      </c>
      <c r="R5" s="173" t="str">
        <f>Data!CR2</f>
        <v>70-74</v>
      </c>
      <c r="S5" s="173" t="str">
        <f>Data!CS2</f>
        <v>75-79</v>
      </c>
      <c r="T5" s="173" t="str">
        <f>Data!CT2</f>
        <v>80-84</v>
      </c>
      <c r="U5" s="173" t="str">
        <f>Data!CU2</f>
        <v>85+</v>
      </c>
      <c r="V5" s="535"/>
      <c r="W5" s="67"/>
    </row>
    <row r="6" spans="1:23" ht="12" customHeight="1" thickTop="1">
      <c r="A6" s="65"/>
      <c r="B6" s="150" t="str">
        <f>UPPER(LEFT(TRIM(Data!B5),1)) &amp; MID(TRIM(Data!B5),2,50)</f>
        <v>Piktybiniai navikai</v>
      </c>
      <c r="C6" s="150" t="str">
        <f>Data!C5</f>
        <v>C00-C96</v>
      </c>
      <c r="D6" s="169">
        <f>Data!CD5</f>
        <v>8</v>
      </c>
      <c r="E6" s="169">
        <f>Data!CE5</f>
        <v>13</v>
      </c>
      <c r="F6" s="169">
        <f>Data!CF5</f>
        <v>7</v>
      </c>
      <c r="G6" s="169">
        <f>Data!CG5</f>
        <v>19</v>
      </c>
      <c r="H6" s="169">
        <f>Data!CH5</f>
        <v>31</v>
      </c>
      <c r="I6" s="169">
        <f>Data!CI5</f>
        <v>60</v>
      </c>
      <c r="J6" s="169">
        <f>Data!CJ5</f>
        <v>102</v>
      </c>
      <c r="K6" s="169">
        <f>Data!CK5</f>
        <v>172</v>
      </c>
      <c r="L6" s="169">
        <f>Data!CL5</f>
        <v>279</v>
      </c>
      <c r="M6" s="169">
        <f>Data!CM5</f>
        <v>426</v>
      </c>
      <c r="N6" s="169">
        <f>Data!CN5</f>
        <v>691</v>
      </c>
      <c r="O6" s="169">
        <f>Data!CO5</f>
        <v>819</v>
      </c>
      <c r="P6" s="169">
        <f>Data!CP5</f>
        <v>878</v>
      </c>
      <c r="Q6" s="169">
        <f>Data!CQ5</f>
        <v>986</v>
      </c>
      <c r="R6" s="169">
        <f>Data!CR5</f>
        <v>1048</v>
      </c>
      <c r="S6" s="169">
        <f>Data!CS5</f>
        <v>1129</v>
      </c>
      <c r="T6" s="169">
        <f>Data!CT5</f>
        <v>956</v>
      </c>
      <c r="U6" s="169">
        <f>Data!CU5</f>
        <v>765</v>
      </c>
      <c r="V6" s="169">
        <f>SUM(D6:U6)</f>
        <v>8389</v>
      </c>
      <c r="W6" s="67"/>
    </row>
    <row r="7" spans="1:23" ht="12" customHeight="1">
      <c r="A7" s="65"/>
      <c r="B7" s="145" t="str">
        <f>UPPER(LEFT(TRIM(Data!B6),1)) &amp; MID(TRIM(Data!B6),2,50)</f>
        <v>Lūpos</v>
      </c>
      <c r="C7" s="174" t="str">
        <f>Data!C6</f>
        <v>C00</v>
      </c>
      <c r="D7" s="175">
        <f>Data!CD6</f>
        <v>0</v>
      </c>
      <c r="E7" s="175">
        <f>Data!CE6</f>
        <v>0</v>
      </c>
      <c r="F7" s="175">
        <f>Data!CF6</f>
        <v>0</v>
      </c>
      <c r="G7" s="175">
        <f>Data!CG6</f>
        <v>0</v>
      </c>
      <c r="H7" s="175">
        <f>Data!CH6</f>
        <v>0</v>
      </c>
      <c r="I7" s="175">
        <f>Data!CI6</f>
        <v>0</v>
      </c>
      <c r="J7" s="175">
        <f>Data!CJ6</f>
        <v>0</v>
      </c>
      <c r="K7" s="175">
        <f>Data!CK6</f>
        <v>0</v>
      </c>
      <c r="L7" s="175">
        <f>Data!CL6</f>
        <v>0</v>
      </c>
      <c r="M7" s="175">
        <f>Data!CM6</f>
        <v>0</v>
      </c>
      <c r="N7" s="175">
        <f>Data!CN6</f>
        <v>0</v>
      </c>
      <c r="O7" s="175">
        <f>Data!CO6</f>
        <v>0</v>
      </c>
      <c r="P7" s="175">
        <f>Data!CP6</f>
        <v>0</v>
      </c>
      <c r="Q7" s="175">
        <f>Data!CQ6</f>
        <v>0</v>
      </c>
      <c r="R7" s="175">
        <f>Data!CR6</f>
        <v>2</v>
      </c>
      <c r="S7" s="175">
        <f>Data!CS6</f>
        <v>2</v>
      </c>
      <c r="T7" s="175">
        <f>Data!CT6</f>
        <v>0</v>
      </c>
      <c r="U7" s="175">
        <f>Data!CU6</f>
        <v>4</v>
      </c>
      <c r="V7" s="175">
        <f>SUM(D7:U7)</f>
        <v>8</v>
      </c>
      <c r="W7" s="67"/>
    </row>
    <row r="8" spans="1:23" ht="12" customHeight="1">
      <c r="A8" s="65"/>
      <c r="B8" s="150" t="str">
        <f>UPPER(LEFT(TRIM(Data!B7),1)) &amp; MID(TRIM(Data!B7),2,50)</f>
        <v>Burnos ertmės ir ryklės</v>
      </c>
      <c r="C8" s="150" t="str">
        <f>Data!C7</f>
        <v>C01-C14</v>
      </c>
      <c r="D8" s="169">
        <f>Data!CD7</f>
        <v>0</v>
      </c>
      <c r="E8" s="169">
        <f>Data!CE7</f>
        <v>0</v>
      </c>
      <c r="F8" s="169">
        <f>Data!CF7</f>
        <v>0</v>
      </c>
      <c r="G8" s="169">
        <f>Data!CG7</f>
        <v>0</v>
      </c>
      <c r="H8" s="169">
        <f>Data!CH7</f>
        <v>0</v>
      </c>
      <c r="I8" s="169">
        <f>Data!CI7</f>
        <v>1</v>
      </c>
      <c r="J8" s="169">
        <f>Data!CJ7</f>
        <v>1</v>
      </c>
      <c r="K8" s="169">
        <f>Data!CK7</f>
        <v>2</v>
      </c>
      <c r="L8" s="169">
        <f>Data!CL7</f>
        <v>1</v>
      </c>
      <c r="M8" s="169">
        <f>Data!CM7</f>
        <v>8</v>
      </c>
      <c r="N8" s="169">
        <f>Data!CN7</f>
        <v>7</v>
      </c>
      <c r="O8" s="169">
        <f>Data!CO7</f>
        <v>15</v>
      </c>
      <c r="P8" s="169">
        <f>Data!CP7</f>
        <v>10</v>
      </c>
      <c r="Q8" s="169">
        <f>Data!CQ7</f>
        <v>9</v>
      </c>
      <c r="R8" s="169">
        <f>Data!CR7</f>
        <v>11</v>
      </c>
      <c r="S8" s="169">
        <f>Data!CS7</f>
        <v>5</v>
      </c>
      <c r="T8" s="169">
        <f>Data!CT7</f>
        <v>4</v>
      </c>
      <c r="U8" s="169">
        <f>Data!CU7</f>
        <v>7</v>
      </c>
      <c r="V8" s="169">
        <f t="shared" ref="V8:V51" si="0">SUM(D8:U8)</f>
        <v>81</v>
      </c>
      <c r="W8" s="67"/>
    </row>
    <row r="9" spans="1:23" ht="12" customHeight="1">
      <c r="A9" s="65"/>
      <c r="B9" s="145" t="str">
        <f>UPPER(LEFT(TRIM(Data!B8),1)) &amp; MID(TRIM(Data!B8),2,50)</f>
        <v>Stemplės</v>
      </c>
      <c r="C9" s="174" t="str">
        <f>Data!C8</f>
        <v>C15</v>
      </c>
      <c r="D9" s="175">
        <f>Data!CD8</f>
        <v>0</v>
      </c>
      <c r="E9" s="175">
        <f>Data!CE8</f>
        <v>0</v>
      </c>
      <c r="F9" s="175">
        <f>Data!CF8</f>
        <v>0</v>
      </c>
      <c r="G9" s="175">
        <f>Data!CG8</f>
        <v>0</v>
      </c>
      <c r="H9" s="175">
        <f>Data!CH8</f>
        <v>1</v>
      </c>
      <c r="I9" s="175">
        <f>Data!CI8</f>
        <v>0</v>
      </c>
      <c r="J9" s="175">
        <f>Data!CJ8</f>
        <v>0</v>
      </c>
      <c r="K9" s="175">
        <f>Data!CK8</f>
        <v>0</v>
      </c>
      <c r="L9" s="175">
        <f>Data!CL8</f>
        <v>1</v>
      </c>
      <c r="M9" s="175">
        <f>Data!CM8</f>
        <v>0</v>
      </c>
      <c r="N9" s="175">
        <f>Data!CN8</f>
        <v>3</v>
      </c>
      <c r="O9" s="175">
        <f>Data!CO8</f>
        <v>7</v>
      </c>
      <c r="P9" s="175">
        <f>Data!CP8</f>
        <v>5</v>
      </c>
      <c r="Q9" s="175">
        <f>Data!CQ8</f>
        <v>3</v>
      </c>
      <c r="R9" s="175">
        <f>Data!CR8</f>
        <v>5</v>
      </c>
      <c r="S9" s="175">
        <f>Data!CS8</f>
        <v>1</v>
      </c>
      <c r="T9" s="175">
        <f>Data!CT8</f>
        <v>5</v>
      </c>
      <c r="U9" s="175">
        <f>Data!CU8</f>
        <v>6</v>
      </c>
      <c r="V9" s="175">
        <f t="shared" si="0"/>
        <v>37</v>
      </c>
      <c r="W9" s="67"/>
    </row>
    <row r="10" spans="1:23" ht="12" customHeight="1">
      <c r="A10" s="65"/>
      <c r="B10" s="150" t="str">
        <f>UPPER(LEFT(TRIM(Data!B9),1)) &amp; MID(TRIM(Data!B9),2,50)</f>
        <v>Skrandžio</v>
      </c>
      <c r="C10" s="150" t="str">
        <f>Data!C9</f>
        <v>C16</v>
      </c>
      <c r="D10" s="169">
        <f>Data!CD9</f>
        <v>0</v>
      </c>
      <c r="E10" s="169">
        <f>Data!CE9</f>
        <v>0</v>
      </c>
      <c r="F10" s="169">
        <f>Data!CF9</f>
        <v>0</v>
      </c>
      <c r="G10" s="169">
        <f>Data!CG9</f>
        <v>0</v>
      </c>
      <c r="H10" s="169">
        <f>Data!CH9</f>
        <v>0</v>
      </c>
      <c r="I10" s="169">
        <f>Data!CI9</f>
        <v>1</v>
      </c>
      <c r="J10" s="169">
        <f>Data!CJ9</f>
        <v>2</v>
      </c>
      <c r="K10" s="169">
        <f>Data!CK9</f>
        <v>6</v>
      </c>
      <c r="L10" s="169">
        <f>Data!CL9</f>
        <v>5</v>
      </c>
      <c r="M10" s="169">
        <f>Data!CM9</f>
        <v>8</v>
      </c>
      <c r="N10" s="169">
        <f>Data!CN9</f>
        <v>16</v>
      </c>
      <c r="O10" s="169">
        <f>Data!CO9</f>
        <v>25</v>
      </c>
      <c r="P10" s="169">
        <f>Data!CP9</f>
        <v>33</v>
      </c>
      <c r="Q10" s="169">
        <f>Data!CQ9</f>
        <v>27</v>
      </c>
      <c r="R10" s="169">
        <f>Data!CR9</f>
        <v>40</v>
      </c>
      <c r="S10" s="169">
        <f>Data!CS9</f>
        <v>50</v>
      </c>
      <c r="T10" s="169">
        <f>Data!CT9</f>
        <v>56</v>
      </c>
      <c r="U10" s="169">
        <f>Data!CU9</f>
        <v>46</v>
      </c>
      <c r="V10" s="169">
        <f t="shared" si="0"/>
        <v>315</v>
      </c>
      <c r="W10" s="67"/>
    </row>
    <row r="11" spans="1:23" ht="12" customHeight="1">
      <c r="A11" s="65"/>
      <c r="B11" s="145" t="str">
        <f>UPPER(LEFT(TRIM(Data!B10),1)) &amp; MID(TRIM(Data!B10),2,50)</f>
        <v>Gaubtinės žarnos</v>
      </c>
      <c r="C11" s="174" t="str">
        <f>Data!C10</f>
        <v>C18</v>
      </c>
      <c r="D11" s="175">
        <f>Data!CD10</f>
        <v>0</v>
      </c>
      <c r="E11" s="175">
        <f>Data!CE10</f>
        <v>0</v>
      </c>
      <c r="F11" s="175">
        <f>Data!CF10</f>
        <v>0</v>
      </c>
      <c r="G11" s="175">
        <f>Data!CG10</f>
        <v>0</v>
      </c>
      <c r="H11" s="175">
        <f>Data!CH10</f>
        <v>0</v>
      </c>
      <c r="I11" s="175">
        <f>Data!CI10</f>
        <v>0</v>
      </c>
      <c r="J11" s="175">
        <f>Data!CJ10</f>
        <v>1</v>
      </c>
      <c r="K11" s="175">
        <f>Data!CK10</f>
        <v>3</v>
      </c>
      <c r="L11" s="175">
        <f>Data!CL10</f>
        <v>3</v>
      </c>
      <c r="M11" s="175">
        <f>Data!CM10</f>
        <v>8</v>
      </c>
      <c r="N11" s="175">
        <f>Data!CN10</f>
        <v>23</v>
      </c>
      <c r="O11" s="175">
        <f>Data!CO10</f>
        <v>38</v>
      </c>
      <c r="P11" s="175">
        <f>Data!CP10</f>
        <v>42</v>
      </c>
      <c r="Q11" s="175">
        <f>Data!CQ10</f>
        <v>60</v>
      </c>
      <c r="R11" s="175">
        <f>Data!CR10</f>
        <v>69</v>
      </c>
      <c r="S11" s="175">
        <f>Data!CS10</f>
        <v>66</v>
      </c>
      <c r="T11" s="175">
        <f>Data!CT10</f>
        <v>81</v>
      </c>
      <c r="U11" s="175">
        <f>Data!CU10</f>
        <v>60</v>
      </c>
      <c r="V11" s="175">
        <f t="shared" si="0"/>
        <v>454</v>
      </c>
      <c r="W11" s="67"/>
    </row>
    <row r="12" spans="1:23" ht="12" customHeight="1">
      <c r="A12" s="65"/>
      <c r="B12" s="150" t="str">
        <f>UPPER(LEFT(TRIM(Data!B11),1)) &amp; MID(TRIM(Data!B11),2,50)</f>
        <v>Tiesiosios žarnos, išangės</v>
      </c>
      <c r="C12" s="150" t="str">
        <f>Data!C11</f>
        <v>C19-C21</v>
      </c>
      <c r="D12" s="169">
        <f>Data!CD11</f>
        <v>0</v>
      </c>
      <c r="E12" s="169">
        <f>Data!CE11</f>
        <v>0</v>
      </c>
      <c r="F12" s="169">
        <f>Data!CF11</f>
        <v>0</v>
      </c>
      <c r="G12" s="169">
        <f>Data!CG11</f>
        <v>0</v>
      </c>
      <c r="H12" s="169">
        <f>Data!CH11</f>
        <v>0</v>
      </c>
      <c r="I12" s="169">
        <f>Data!CI11</f>
        <v>1</v>
      </c>
      <c r="J12" s="169">
        <f>Data!CJ11</f>
        <v>3</v>
      </c>
      <c r="K12" s="169">
        <f>Data!CK11</f>
        <v>2</v>
      </c>
      <c r="L12" s="169">
        <f>Data!CL11</f>
        <v>1</v>
      </c>
      <c r="M12" s="169">
        <f>Data!CM11</f>
        <v>13</v>
      </c>
      <c r="N12" s="169">
        <f>Data!CN11</f>
        <v>17</v>
      </c>
      <c r="O12" s="169">
        <f>Data!CO11</f>
        <v>25</v>
      </c>
      <c r="P12" s="169">
        <f>Data!CP11</f>
        <v>33</v>
      </c>
      <c r="Q12" s="169">
        <f>Data!CQ11</f>
        <v>41</v>
      </c>
      <c r="R12" s="169">
        <f>Data!CR11</f>
        <v>32</v>
      </c>
      <c r="S12" s="169">
        <f>Data!CS11</f>
        <v>42</v>
      </c>
      <c r="T12" s="169">
        <f>Data!CT11</f>
        <v>36</v>
      </c>
      <c r="U12" s="169">
        <f>Data!CU11</f>
        <v>32</v>
      </c>
      <c r="V12" s="169">
        <f t="shared" si="0"/>
        <v>278</v>
      </c>
      <c r="W12" s="67"/>
    </row>
    <row r="13" spans="1:23" ht="12" customHeight="1">
      <c r="A13" s="65"/>
      <c r="B13" s="145" t="str">
        <f>UPPER(LEFT(TRIM(Data!B12),1)) &amp; MID(TRIM(Data!B12),2,50)</f>
        <v>Kepenų</v>
      </c>
      <c r="C13" s="174" t="str">
        <f>Data!C12</f>
        <v>C22</v>
      </c>
      <c r="D13" s="175">
        <f>Data!CD12</f>
        <v>0</v>
      </c>
      <c r="E13" s="175">
        <f>Data!CE12</f>
        <v>0</v>
      </c>
      <c r="F13" s="175">
        <f>Data!CF12</f>
        <v>0</v>
      </c>
      <c r="G13" s="175">
        <f>Data!CG12</f>
        <v>0</v>
      </c>
      <c r="H13" s="175">
        <f>Data!CH12</f>
        <v>1</v>
      </c>
      <c r="I13" s="175">
        <f>Data!CI12</f>
        <v>0</v>
      </c>
      <c r="J13" s="175">
        <f>Data!CJ12</f>
        <v>0</v>
      </c>
      <c r="K13" s="175">
        <f>Data!CK12</f>
        <v>0</v>
      </c>
      <c r="L13" s="175">
        <f>Data!CL12</f>
        <v>1</v>
      </c>
      <c r="M13" s="175">
        <f>Data!CM12</f>
        <v>4</v>
      </c>
      <c r="N13" s="175">
        <f>Data!CN12</f>
        <v>6</v>
      </c>
      <c r="O13" s="175">
        <f>Data!CO12</f>
        <v>8</v>
      </c>
      <c r="P13" s="175">
        <f>Data!CP12</f>
        <v>6</v>
      </c>
      <c r="Q13" s="175">
        <f>Data!CQ12</f>
        <v>15</v>
      </c>
      <c r="R13" s="175">
        <f>Data!CR12</f>
        <v>13</v>
      </c>
      <c r="S13" s="175">
        <f>Data!CS12</f>
        <v>15</v>
      </c>
      <c r="T13" s="175">
        <f>Data!CT12</f>
        <v>17</v>
      </c>
      <c r="U13" s="175">
        <f>Data!CU12</f>
        <v>12</v>
      </c>
      <c r="V13" s="175">
        <f t="shared" si="0"/>
        <v>98</v>
      </c>
      <c r="W13" s="67"/>
    </row>
    <row r="14" spans="1:23" ht="12" customHeight="1">
      <c r="A14" s="65"/>
      <c r="B14" s="150" t="str">
        <f>UPPER(LEFT(TRIM(Data!B13),1)) &amp; MID(TRIM(Data!B13),2,50)</f>
        <v>Tulžies pūslės, ekstrahepatinių takų</v>
      </c>
      <c r="C14" s="150" t="str">
        <f>Data!C13</f>
        <v>C23, C24</v>
      </c>
      <c r="D14" s="169">
        <f>Data!CD13</f>
        <v>0</v>
      </c>
      <c r="E14" s="169">
        <f>Data!CE13</f>
        <v>0</v>
      </c>
      <c r="F14" s="169">
        <f>Data!CF13</f>
        <v>0</v>
      </c>
      <c r="G14" s="169">
        <f>Data!CG13</f>
        <v>0</v>
      </c>
      <c r="H14" s="169">
        <f>Data!CH13</f>
        <v>0</v>
      </c>
      <c r="I14" s="169">
        <f>Data!CI13</f>
        <v>0</v>
      </c>
      <c r="J14" s="169">
        <f>Data!CJ13</f>
        <v>0</v>
      </c>
      <c r="K14" s="169">
        <f>Data!CK13</f>
        <v>0</v>
      </c>
      <c r="L14" s="169">
        <f>Data!CL13</f>
        <v>0</v>
      </c>
      <c r="M14" s="169">
        <f>Data!CM13</f>
        <v>3</v>
      </c>
      <c r="N14" s="169">
        <f>Data!CN13</f>
        <v>2</v>
      </c>
      <c r="O14" s="169">
        <f>Data!CO13</f>
        <v>3</v>
      </c>
      <c r="P14" s="169">
        <f>Data!CP13</f>
        <v>5</v>
      </c>
      <c r="Q14" s="169">
        <f>Data!CQ13</f>
        <v>8</v>
      </c>
      <c r="R14" s="169">
        <f>Data!CR13</f>
        <v>13</v>
      </c>
      <c r="S14" s="169">
        <f>Data!CS13</f>
        <v>13</v>
      </c>
      <c r="T14" s="169">
        <f>Data!CT13</f>
        <v>11</v>
      </c>
      <c r="U14" s="169">
        <f>Data!CU13</f>
        <v>12</v>
      </c>
      <c r="V14" s="169">
        <f t="shared" si="0"/>
        <v>70</v>
      </c>
      <c r="W14" s="67"/>
    </row>
    <row r="15" spans="1:23" ht="12" customHeight="1">
      <c r="A15" s="65"/>
      <c r="B15" s="145" t="str">
        <f>UPPER(LEFT(TRIM(Data!B14),1)) &amp; MID(TRIM(Data!B14),2,50)</f>
        <v>Kasos</v>
      </c>
      <c r="C15" s="174" t="str">
        <f>Data!C14</f>
        <v>C25</v>
      </c>
      <c r="D15" s="175">
        <f>Data!CD14</f>
        <v>0</v>
      </c>
      <c r="E15" s="175">
        <f>Data!CE14</f>
        <v>0</v>
      </c>
      <c r="F15" s="175">
        <f>Data!CF14</f>
        <v>0</v>
      </c>
      <c r="G15" s="175">
        <f>Data!CG14</f>
        <v>0</v>
      </c>
      <c r="H15" s="175">
        <f>Data!CH14</f>
        <v>1</v>
      </c>
      <c r="I15" s="175">
        <f>Data!CI14</f>
        <v>1</v>
      </c>
      <c r="J15" s="175">
        <f>Data!CJ14</f>
        <v>1</v>
      </c>
      <c r="K15" s="175">
        <f>Data!CK14</f>
        <v>0</v>
      </c>
      <c r="L15" s="175">
        <f>Data!CL14</f>
        <v>1</v>
      </c>
      <c r="M15" s="175">
        <f>Data!CM14</f>
        <v>3</v>
      </c>
      <c r="N15" s="175">
        <f>Data!CN14</f>
        <v>13</v>
      </c>
      <c r="O15" s="175">
        <f>Data!CO14</f>
        <v>21</v>
      </c>
      <c r="P15" s="175">
        <f>Data!CP14</f>
        <v>27</v>
      </c>
      <c r="Q15" s="175">
        <f>Data!CQ14</f>
        <v>39</v>
      </c>
      <c r="R15" s="175">
        <f>Data!CR14</f>
        <v>41</v>
      </c>
      <c r="S15" s="175">
        <f>Data!CS14</f>
        <v>53</v>
      </c>
      <c r="T15" s="175">
        <f>Data!CT14</f>
        <v>46</v>
      </c>
      <c r="U15" s="175">
        <f>Data!CU14</f>
        <v>40</v>
      </c>
      <c r="V15" s="175">
        <f t="shared" si="0"/>
        <v>287</v>
      </c>
      <c r="W15" s="67"/>
    </row>
    <row r="16" spans="1:23" ht="12" customHeight="1">
      <c r="A16" s="65"/>
      <c r="B16" s="150" t="str">
        <f>UPPER(LEFT(TRIM(Data!B15),1)) &amp; MID(TRIM(Data!B15),2,50)</f>
        <v>Kitų virškinimo sistemos organų</v>
      </c>
      <c r="C16" s="150" t="str">
        <f>Data!C15</f>
        <v>C17, C26, C48</v>
      </c>
      <c r="D16" s="169">
        <f>Data!CD15</f>
        <v>0</v>
      </c>
      <c r="E16" s="169">
        <f>Data!CE15</f>
        <v>0</v>
      </c>
      <c r="F16" s="169">
        <f>Data!CF15</f>
        <v>0</v>
      </c>
      <c r="G16" s="169">
        <f>Data!CG15</f>
        <v>0</v>
      </c>
      <c r="H16" s="169">
        <f>Data!CH15</f>
        <v>0</v>
      </c>
      <c r="I16" s="169">
        <f>Data!CI15</f>
        <v>0</v>
      </c>
      <c r="J16" s="169">
        <f>Data!CJ15</f>
        <v>0</v>
      </c>
      <c r="K16" s="169">
        <f>Data!CK15</f>
        <v>1</v>
      </c>
      <c r="L16" s="169">
        <f>Data!CL15</f>
        <v>1</v>
      </c>
      <c r="M16" s="169">
        <f>Data!CM15</f>
        <v>2</v>
      </c>
      <c r="N16" s="169">
        <f>Data!CN15</f>
        <v>4</v>
      </c>
      <c r="O16" s="169">
        <f>Data!CO15</f>
        <v>0</v>
      </c>
      <c r="P16" s="169">
        <f>Data!CP15</f>
        <v>3</v>
      </c>
      <c r="Q16" s="169">
        <f>Data!CQ15</f>
        <v>6</v>
      </c>
      <c r="R16" s="169">
        <f>Data!CR15</f>
        <v>2</v>
      </c>
      <c r="S16" s="169">
        <f>Data!CS15</f>
        <v>8</v>
      </c>
      <c r="T16" s="169">
        <f>Data!CT15</f>
        <v>7</v>
      </c>
      <c r="U16" s="169">
        <f>Data!CU15</f>
        <v>9</v>
      </c>
      <c r="V16" s="169">
        <f t="shared" si="0"/>
        <v>43</v>
      </c>
      <c r="W16" s="67"/>
    </row>
    <row r="17" spans="1:23" ht="12" customHeight="1">
      <c r="A17" s="65"/>
      <c r="B17" s="145" t="str">
        <f>UPPER(LEFT(TRIM(Data!B16),1)) &amp; MID(TRIM(Data!B16),2,50)</f>
        <v>Nosies ertmės, vid.ausies ir ančių</v>
      </c>
      <c r="C17" s="174" t="str">
        <f>Data!C16</f>
        <v>C30, C31</v>
      </c>
      <c r="D17" s="175">
        <f>Data!CD16</f>
        <v>0</v>
      </c>
      <c r="E17" s="175">
        <f>Data!CE16</f>
        <v>0</v>
      </c>
      <c r="F17" s="175">
        <f>Data!CF16</f>
        <v>0</v>
      </c>
      <c r="G17" s="175">
        <f>Data!CG16</f>
        <v>0</v>
      </c>
      <c r="H17" s="175">
        <f>Data!CH16</f>
        <v>0</v>
      </c>
      <c r="I17" s="175">
        <f>Data!CI16</f>
        <v>0</v>
      </c>
      <c r="J17" s="175">
        <f>Data!CJ16</f>
        <v>0</v>
      </c>
      <c r="K17" s="175">
        <f>Data!CK16</f>
        <v>0</v>
      </c>
      <c r="L17" s="175">
        <f>Data!CL16</f>
        <v>1</v>
      </c>
      <c r="M17" s="175">
        <f>Data!CM16</f>
        <v>0</v>
      </c>
      <c r="N17" s="175">
        <f>Data!CN16</f>
        <v>0</v>
      </c>
      <c r="O17" s="175">
        <f>Data!CO16</f>
        <v>1</v>
      </c>
      <c r="P17" s="175">
        <f>Data!CP16</f>
        <v>3</v>
      </c>
      <c r="Q17" s="175">
        <f>Data!CQ16</f>
        <v>3</v>
      </c>
      <c r="R17" s="175">
        <f>Data!CR16</f>
        <v>1</v>
      </c>
      <c r="S17" s="175">
        <f>Data!CS16</f>
        <v>0</v>
      </c>
      <c r="T17" s="175">
        <f>Data!CT16</f>
        <v>2</v>
      </c>
      <c r="U17" s="175">
        <f>Data!CU16</f>
        <v>1</v>
      </c>
      <c r="V17" s="175">
        <f t="shared" si="0"/>
        <v>12</v>
      </c>
      <c r="W17" s="67"/>
    </row>
    <row r="18" spans="1:23" ht="12" customHeight="1">
      <c r="A18" s="65"/>
      <c r="B18" s="150" t="str">
        <f>UPPER(LEFT(TRIM(Data!B17),1)) &amp; MID(TRIM(Data!B17),2,50)</f>
        <v>Gerklų</v>
      </c>
      <c r="C18" s="150" t="str">
        <f>Data!C17</f>
        <v>C32</v>
      </c>
      <c r="D18" s="169">
        <f>Data!CD17</f>
        <v>0</v>
      </c>
      <c r="E18" s="169">
        <f>Data!CE17</f>
        <v>0</v>
      </c>
      <c r="F18" s="169">
        <f>Data!CF17</f>
        <v>0</v>
      </c>
      <c r="G18" s="169">
        <f>Data!CG17</f>
        <v>0</v>
      </c>
      <c r="H18" s="169">
        <f>Data!CH17</f>
        <v>1</v>
      </c>
      <c r="I18" s="169">
        <f>Data!CI17</f>
        <v>0</v>
      </c>
      <c r="J18" s="169">
        <f>Data!CJ17</f>
        <v>0</v>
      </c>
      <c r="K18" s="169">
        <f>Data!CK17</f>
        <v>0</v>
      </c>
      <c r="L18" s="169">
        <f>Data!CL17</f>
        <v>0</v>
      </c>
      <c r="M18" s="169">
        <f>Data!CM17</f>
        <v>0</v>
      </c>
      <c r="N18" s="169">
        <f>Data!CN17</f>
        <v>0</v>
      </c>
      <c r="O18" s="169">
        <f>Data!CO17</f>
        <v>2</v>
      </c>
      <c r="P18" s="169">
        <f>Data!CP17</f>
        <v>3</v>
      </c>
      <c r="Q18" s="169">
        <f>Data!CQ17</f>
        <v>4</v>
      </c>
      <c r="R18" s="169">
        <f>Data!CR17</f>
        <v>2</v>
      </c>
      <c r="S18" s="169">
        <f>Data!CS17</f>
        <v>2</v>
      </c>
      <c r="T18" s="169">
        <f>Data!CT17</f>
        <v>0</v>
      </c>
      <c r="U18" s="169">
        <f>Data!CU17</f>
        <v>1</v>
      </c>
      <c r="V18" s="169">
        <f t="shared" si="0"/>
        <v>15</v>
      </c>
      <c r="W18" s="67"/>
    </row>
    <row r="19" spans="1:23" ht="12" customHeight="1">
      <c r="A19" s="65"/>
      <c r="B19" s="145" t="str">
        <f>UPPER(LEFT(TRIM(Data!B18),1)) &amp; MID(TRIM(Data!B18),2,50)</f>
        <v>Plaučių, trachėjos, bronchų</v>
      </c>
      <c r="C19" s="174" t="str">
        <f>Data!C18</f>
        <v>C33, C34</v>
      </c>
      <c r="D19" s="175">
        <f>Data!CD18</f>
        <v>0</v>
      </c>
      <c r="E19" s="175">
        <f>Data!CE18</f>
        <v>0</v>
      </c>
      <c r="F19" s="175">
        <f>Data!CF18</f>
        <v>0</v>
      </c>
      <c r="G19" s="175">
        <f>Data!CG18</f>
        <v>0</v>
      </c>
      <c r="H19" s="175">
        <f>Data!CH18</f>
        <v>0</v>
      </c>
      <c r="I19" s="175">
        <f>Data!CI18</f>
        <v>2</v>
      </c>
      <c r="J19" s="175">
        <f>Data!CJ18</f>
        <v>1</v>
      </c>
      <c r="K19" s="175">
        <f>Data!CK18</f>
        <v>2</v>
      </c>
      <c r="L19" s="175">
        <f>Data!CL18</f>
        <v>5</v>
      </c>
      <c r="M19" s="175">
        <f>Data!CM18</f>
        <v>9</v>
      </c>
      <c r="N19" s="175">
        <f>Data!CN18</f>
        <v>15</v>
      </c>
      <c r="O19" s="175">
        <f>Data!CO18</f>
        <v>28</v>
      </c>
      <c r="P19" s="175">
        <f>Data!CP18</f>
        <v>35</v>
      </c>
      <c r="Q19" s="175">
        <f>Data!CQ18</f>
        <v>50</v>
      </c>
      <c r="R19" s="175">
        <f>Data!CR18</f>
        <v>42</v>
      </c>
      <c r="S19" s="175">
        <f>Data!CS18</f>
        <v>43</v>
      </c>
      <c r="T19" s="175">
        <f>Data!CT18</f>
        <v>46</v>
      </c>
      <c r="U19" s="175">
        <f>Data!CU18</f>
        <v>32</v>
      </c>
      <c r="V19" s="175">
        <f t="shared" si="0"/>
        <v>310</v>
      </c>
      <c r="W19" s="67"/>
    </row>
    <row r="20" spans="1:23" ht="12" customHeight="1">
      <c r="A20" s="65"/>
      <c r="B20" s="150" t="str">
        <f>UPPER(LEFT(TRIM(Data!B19),1)) &amp; MID(TRIM(Data!B19),2,50)</f>
        <v>Kitų kvėpavimo sistemos organų</v>
      </c>
      <c r="C20" s="150" t="str">
        <f>Data!C19</f>
        <v>C37-C39</v>
      </c>
      <c r="D20" s="169">
        <f>Data!CD19</f>
        <v>0</v>
      </c>
      <c r="E20" s="169">
        <f>Data!CE19</f>
        <v>0</v>
      </c>
      <c r="F20" s="169">
        <f>Data!CF19</f>
        <v>0</v>
      </c>
      <c r="G20" s="169">
        <f>Data!CG19</f>
        <v>0</v>
      </c>
      <c r="H20" s="169">
        <f>Data!CH19</f>
        <v>0</v>
      </c>
      <c r="I20" s="169">
        <f>Data!CI19</f>
        <v>0</v>
      </c>
      <c r="J20" s="169">
        <f>Data!CJ19</f>
        <v>0</v>
      </c>
      <c r="K20" s="169">
        <f>Data!CK19</f>
        <v>0</v>
      </c>
      <c r="L20" s="169">
        <f>Data!CL19</f>
        <v>0</v>
      </c>
      <c r="M20" s="169">
        <f>Data!CM19</f>
        <v>0</v>
      </c>
      <c r="N20" s="169">
        <f>Data!CN19</f>
        <v>1</v>
      </c>
      <c r="O20" s="169">
        <f>Data!CO19</f>
        <v>1</v>
      </c>
      <c r="P20" s="169">
        <f>Data!CP19</f>
        <v>1</v>
      </c>
      <c r="Q20" s="169">
        <f>Data!CQ19</f>
        <v>1</v>
      </c>
      <c r="R20" s="169">
        <f>Data!CR19</f>
        <v>1</v>
      </c>
      <c r="S20" s="169">
        <f>Data!CS19</f>
        <v>0</v>
      </c>
      <c r="T20" s="169">
        <f>Data!CT19</f>
        <v>1</v>
      </c>
      <c r="U20" s="169">
        <f>Data!CU19</f>
        <v>0</v>
      </c>
      <c r="V20" s="169">
        <f t="shared" si="0"/>
        <v>6</v>
      </c>
      <c r="W20" s="67"/>
    </row>
    <row r="21" spans="1:23" ht="12" customHeight="1">
      <c r="A21" s="65"/>
      <c r="B21" s="145" t="str">
        <f>UPPER(LEFT(TRIM(Data!B20),1)) &amp; MID(TRIM(Data!B20),2,50)</f>
        <v>Kaulų ir jungiamojo audinio</v>
      </c>
      <c r="C21" s="174" t="str">
        <f>Data!C20</f>
        <v>C40-C41, C45-C47, C49</v>
      </c>
      <c r="D21" s="175">
        <f>Data!CD20</f>
        <v>0</v>
      </c>
      <c r="E21" s="175">
        <f>Data!CE20</f>
        <v>1</v>
      </c>
      <c r="F21" s="175">
        <f>Data!CF20</f>
        <v>0</v>
      </c>
      <c r="G21" s="175">
        <f>Data!CG20</f>
        <v>4</v>
      </c>
      <c r="H21" s="175">
        <f>Data!CH20</f>
        <v>3</v>
      </c>
      <c r="I21" s="175">
        <f>Data!CI20</f>
        <v>0</v>
      </c>
      <c r="J21" s="175">
        <f>Data!CJ20</f>
        <v>2</v>
      </c>
      <c r="K21" s="175">
        <f>Data!CK20</f>
        <v>1</v>
      </c>
      <c r="L21" s="175">
        <f>Data!CL20</f>
        <v>5</v>
      </c>
      <c r="M21" s="175">
        <f>Data!CM20</f>
        <v>1</v>
      </c>
      <c r="N21" s="175">
        <f>Data!CN20</f>
        <v>2</v>
      </c>
      <c r="O21" s="175">
        <f>Data!CO20</f>
        <v>3</v>
      </c>
      <c r="P21" s="175">
        <f>Data!CP20</f>
        <v>8</v>
      </c>
      <c r="Q21" s="175">
        <f>Data!CQ20</f>
        <v>5</v>
      </c>
      <c r="R21" s="175">
        <f>Data!CR20</f>
        <v>8</v>
      </c>
      <c r="S21" s="175">
        <f>Data!CS20</f>
        <v>10</v>
      </c>
      <c r="T21" s="175">
        <f>Data!CT20</f>
        <v>11</v>
      </c>
      <c r="U21" s="175">
        <f>Data!CU20</f>
        <v>6</v>
      </c>
      <c r="V21" s="175">
        <f t="shared" si="0"/>
        <v>70</v>
      </c>
      <c r="W21" s="67"/>
    </row>
    <row r="22" spans="1:23" ht="12" customHeight="1">
      <c r="A22" s="65"/>
      <c r="B22" s="150" t="str">
        <f>UPPER(LEFT(TRIM(Data!B21),1)) &amp; MID(TRIM(Data!B21),2,50)</f>
        <v>Odos melanoma</v>
      </c>
      <c r="C22" s="150" t="str">
        <f>Data!C21</f>
        <v>C43</v>
      </c>
      <c r="D22" s="169">
        <f>Data!CD21</f>
        <v>0</v>
      </c>
      <c r="E22" s="169">
        <f>Data!CE21</f>
        <v>0</v>
      </c>
      <c r="F22" s="169">
        <f>Data!CF21</f>
        <v>0</v>
      </c>
      <c r="G22" s="169">
        <f>Data!CG21</f>
        <v>0</v>
      </c>
      <c r="H22" s="169">
        <f>Data!CH21</f>
        <v>2</v>
      </c>
      <c r="I22" s="169">
        <f>Data!CI21</f>
        <v>3</v>
      </c>
      <c r="J22" s="169">
        <f>Data!CJ21</f>
        <v>6</v>
      </c>
      <c r="K22" s="169">
        <f>Data!CK21</f>
        <v>4</v>
      </c>
      <c r="L22" s="169">
        <f>Data!CL21</f>
        <v>11</v>
      </c>
      <c r="M22" s="169">
        <f>Data!CM21</f>
        <v>7</v>
      </c>
      <c r="N22" s="169">
        <f>Data!CN21</f>
        <v>12</v>
      </c>
      <c r="O22" s="169">
        <f>Data!CO21</f>
        <v>21</v>
      </c>
      <c r="P22" s="169">
        <f>Data!CP21</f>
        <v>16</v>
      </c>
      <c r="Q22" s="169">
        <f>Data!CQ21</f>
        <v>24</v>
      </c>
      <c r="R22" s="169">
        <f>Data!CR21</f>
        <v>33</v>
      </c>
      <c r="S22" s="169">
        <f>Data!CS21</f>
        <v>34</v>
      </c>
      <c r="T22" s="169">
        <f>Data!CT21</f>
        <v>21</v>
      </c>
      <c r="U22" s="169">
        <f>Data!CU21</f>
        <v>13</v>
      </c>
      <c r="V22" s="169">
        <f t="shared" si="0"/>
        <v>207</v>
      </c>
      <c r="W22" s="67"/>
    </row>
    <row r="23" spans="1:23" ht="12" customHeight="1">
      <c r="A23" s="65"/>
      <c r="B23" s="145" t="str">
        <f>UPPER(LEFT(TRIM(Data!B22),1)) &amp; MID(TRIM(Data!B22),2,50)</f>
        <v>Kiti odos piktybiniai navikai</v>
      </c>
      <c r="C23" s="174" t="str">
        <f>Data!C22</f>
        <v>C44</v>
      </c>
      <c r="D23" s="175">
        <f>Data!CD22</f>
        <v>0</v>
      </c>
      <c r="E23" s="175">
        <f>Data!CE22</f>
        <v>0</v>
      </c>
      <c r="F23" s="175">
        <f>Data!CF22</f>
        <v>0</v>
      </c>
      <c r="G23" s="175">
        <f>Data!CG22</f>
        <v>1</v>
      </c>
      <c r="H23" s="175">
        <f>Data!CH22</f>
        <v>2</v>
      </c>
      <c r="I23" s="175">
        <f>Data!CI22</f>
        <v>7</v>
      </c>
      <c r="J23" s="175">
        <f>Data!CJ22</f>
        <v>15</v>
      </c>
      <c r="K23" s="175">
        <f>Data!CK22</f>
        <v>23</v>
      </c>
      <c r="L23" s="175">
        <f>Data!CL22</f>
        <v>27</v>
      </c>
      <c r="M23" s="175">
        <f>Data!CM22</f>
        <v>44</v>
      </c>
      <c r="N23" s="175">
        <f>Data!CN22</f>
        <v>67</v>
      </c>
      <c r="O23" s="175">
        <f>Data!CO22</f>
        <v>104</v>
      </c>
      <c r="P23" s="175">
        <f>Data!CP22</f>
        <v>118</v>
      </c>
      <c r="Q23" s="175">
        <f>Data!CQ22</f>
        <v>169</v>
      </c>
      <c r="R23" s="175">
        <f>Data!CR22</f>
        <v>210</v>
      </c>
      <c r="S23" s="175">
        <f>Data!CS22</f>
        <v>254</v>
      </c>
      <c r="T23" s="175">
        <f>Data!CT22</f>
        <v>208</v>
      </c>
      <c r="U23" s="175">
        <f>Data!CU22</f>
        <v>165</v>
      </c>
      <c r="V23" s="175">
        <f t="shared" si="0"/>
        <v>1414</v>
      </c>
      <c r="W23" s="67"/>
    </row>
    <row r="24" spans="1:23" ht="12" customHeight="1">
      <c r="A24" s="65"/>
      <c r="B24" s="150" t="str">
        <f>UPPER(LEFT(TRIM(Data!B23),1)) &amp; MID(TRIM(Data!B23),2,50)</f>
        <v>Krūties</v>
      </c>
      <c r="C24" s="150" t="str">
        <f>Data!C23</f>
        <v>C50</v>
      </c>
      <c r="D24" s="169">
        <f>Data!CD23</f>
        <v>0</v>
      </c>
      <c r="E24" s="169">
        <f>Data!CE23</f>
        <v>0</v>
      </c>
      <c r="F24" s="169">
        <f>Data!CF23</f>
        <v>0</v>
      </c>
      <c r="G24" s="169">
        <f>Data!CG23</f>
        <v>0</v>
      </c>
      <c r="H24" s="169">
        <f>Data!CH23</f>
        <v>0</v>
      </c>
      <c r="I24" s="169">
        <f>Data!CI23</f>
        <v>4</v>
      </c>
      <c r="J24" s="169">
        <f>Data!CJ23</f>
        <v>18</v>
      </c>
      <c r="K24" s="169">
        <f>Data!CK23</f>
        <v>45</v>
      </c>
      <c r="L24" s="169">
        <f>Data!CL23</f>
        <v>97</v>
      </c>
      <c r="M24" s="169">
        <f>Data!CM23</f>
        <v>131</v>
      </c>
      <c r="N24" s="169">
        <f>Data!CN23</f>
        <v>244</v>
      </c>
      <c r="O24" s="169">
        <f>Data!CO23</f>
        <v>211</v>
      </c>
      <c r="P24" s="169">
        <f>Data!CP23</f>
        <v>207</v>
      </c>
      <c r="Q24" s="169">
        <f>Data!CQ23</f>
        <v>166</v>
      </c>
      <c r="R24" s="169">
        <f>Data!CR23</f>
        <v>174</v>
      </c>
      <c r="S24" s="169">
        <f>Data!CS23</f>
        <v>169</v>
      </c>
      <c r="T24" s="169">
        <f>Data!CT23</f>
        <v>94</v>
      </c>
      <c r="U24" s="169">
        <f>Data!CU23</f>
        <v>78</v>
      </c>
      <c r="V24" s="169">
        <f t="shared" si="0"/>
        <v>1638</v>
      </c>
      <c r="W24" s="67"/>
    </row>
    <row r="25" spans="1:23" ht="12" customHeight="1">
      <c r="A25" s="65"/>
      <c r="B25" s="145" t="str">
        <f>UPPER(LEFT(TRIM(Data!B24),1)) &amp; MID(TRIM(Data!B24),2,50)</f>
        <v>Vulvos</v>
      </c>
      <c r="C25" s="174" t="str">
        <f>Data!C24</f>
        <v>C51</v>
      </c>
      <c r="D25" s="175">
        <f>Data!CD24</f>
        <v>0</v>
      </c>
      <c r="E25" s="175">
        <f>Data!CE24</f>
        <v>0</v>
      </c>
      <c r="F25" s="175">
        <f>Data!CF24</f>
        <v>0</v>
      </c>
      <c r="G25" s="175">
        <f>Data!CG24</f>
        <v>0</v>
      </c>
      <c r="H25" s="175">
        <f>Data!CH24</f>
        <v>0</v>
      </c>
      <c r="I25" s="175">
        <f>Data!CI24</f>
        <v>0</v>
      </c>
      <c r="J25" s="175">
        <f>Data!CJ24</f>
        <v>0</v>
      </c>
      <c r="K25" s="175">
        <f>Data!CK24</f>
        <v>2</v>
      </c>
      <c r="L25" s="175">
        <f>Data!CL24</f>
        <v>0</v>
      </c>
      <c r="M25" s="175">
        <f>Data!CM24</f>
        <v>3</v>
      </c>
      <c r="N25" s="175">
        <f>Data!CN24</f>
        <v>3</v>
      </c>
      <c r="O25" s="175">
        <f>Data!CO24</f>
        <v>3</v>
      </c>
      <c r="P25" s="175">
        <f>Data!CP24</f>
        <v>5</v>
      </c>
      <c r="Q25" s="175">
        <f>Data!CQ24</f>
        <v>4</v>
      </c>
      <c r="R25" s="175">
        <f>Data!CR24</f>
        <v>5</v>
      </c>
      <c r="S25" s="175">
        <f>Data!CS24</f>
        <v>10</v>
      </c>
      <c r="T25" s="175">
        <f>Data!CT24</f>
        <v>6</v>
      </c>
      <c r="U25" s="175">
        <f>Data!CU24</f>
        <v>10</v>
      </c>
      <c r="V25" s="175">
        <f t="shared" si="0"/>
        <v>51</v>
      </c>
      <c r="W25" s="67"/>
    </row>
    <row r="26" spans="1:23" ht="12" customHeight="1">
      <c r="A26" s="65"/>
      <c r="B26" s="150" t="str">
        <f>UPPER(LEFT(TRIM(Data!B25),1)) &amp; MID(TRIM(Data!B25),2,50)</f>
        <v>Gimdos kaklelio</v>
      </c>
      <c r="C26" s="150" t="str">
        <f>Data!C25</f>
        <v>C53</v>
      </c>
      <c r="D26" s="169">
        <f>Data!CD25</f>
        <v>0</v>
      </c>
      <c r="E26" s="169">
        <f>Data!CE25</f>
        <v>0</v>
      </c>
      <c r="F26" s="169">
        <f>Data!CF25</f>
        <v>0</v>
      </c>
      <c r="G26" s="169">
        <f>Data!CG25</f>
        <v>0</v>
      </c>
      <c r="H26" s="169">
        <f>Data!CH25</f>
        <v>2</v>
      </c>
      <c r="I26" s="169">
        <f>Data!CI25</f>
        <v>8</v>
      </c>
      <c r="J26" s="169">
        <f>Data!CJ25</f>
        <v>19</v>
      </c>
      <c r="K26" s="169">
        <f>Data!CK25</f>
        <v>26</v>
      </c>
      <c r="L26" s="169">
        <f>Data!CL25</f>
        <v>33</v>
      </c>
      <c r="M26" s="169">
        <f>Data!CM25</f>
        <v>43</v>
      </c>
      <c r="N26" s="169">
        <f>Data!CN25</f>
        <v>50</v>
      </c>
      <c r="O26" s="169">
        <f>Data!CO25</f>
        <v>53</v>
      </c>
      <c r="P26" s="169">
        <f>Data!CP25</f>
        <v>31</v>
      </c>
      <c r="Q26" s="169">
        <f>Data!CQ25</f>
        <v>26</v>
      </c>
      <c r="R26" s="169">
        <f>Data!CR25</f>
        <v>24</v>
      </c>
      <c r="S26" s="169">
        <f>Data!CS25</f>
        <v>26</v>
      </c>
      <c r="T26" s="169">
        <f>Data!CT25</f>
        <v>23</v>
      </c>
      <c r="U26" s="169">
        <f>Data!CU25</f>
        <v>16</v>
      </c>
      <c r="V26" s="169">
        <f t="shared" si="0"/>
        <v>380</v>
      </c>
      <c r="W26" s="67"/>
    </row>
    <row r="27" spans="1:23" ht="12" customHeight="1">
      <c r="A27" s="65"/>
      <c r="B27" s="145" t="str">
        <f>UPPER(LEFT(TRIM(Data!B26),1)) &amp; MID(TRIM(Data!B26),2,50)</f>
        <v>Gimdos kūno</v>
      </c>
      <c r="C27" s="174" t="str">
        <f>Data!C26</f>
        <v>C54, C55</v>
      </c>
      <c r="D27" s="175">
        <f>Data!CD26</f>
        <v>0</v>
      </c>
      <c r="E27" s="175">
        <f>Data!CE26</f>
        <v>0</v>
      </c>
      <c r="F27" s="175">
        <f>Data!CF26</f>
        <v>0</v>
      </c>
      <c r="G27" s="175">
        <f>Data!CG26</f>
        <v>0</v>
      </c>
      <c r="H27" s="175">
        <f>Data!CH26</f>
        <v>0</v>
      </c>
      <c r="I27" s="175">
        <f>Data!CI26</f>
        <v>1</v>
      </c>
      <c r="J27" s="175">
        <f>Data!CJ26</f>
        <v>6</v>
      </c>
      <c r="K27" s="175">
        <f>Data!CK26</f>
        <v>7</v>
      </c>
      <c r="L27" s="175">
        <f>Data!CL26</f>
        <v>16</v>
      </c>
      <c r="M27" s="175">
        <f>Data!CM26</f>
        <v>41</v>
      </c>
      <c r="N27" s="175">
        <f>Data!CN26</f>
        <v>65</v>
      </c>
      <c r="O27" s="175">
        <f>Data!CO26</f>
        <v>92</v>
      </c>
      <c r="P27" s="175">
        <f>Data!CP26</f>
        <v>82</v>
      </c>
      <c r="Q27" s="175">
        <f>Data!CQ26</f>
        <v>89</v>
      </c>
      <c r="R27" s="175">
        <f>Data!CR26</f>
        <v>73</v>
      </c>
      <c r="S27" s="175">
        <f>Data!CS26</f>
        <v>63</v>
      </c>
      <c r="T27" s="175">
        <f>Data!CT26</f>
        <v>42</v>
      </c>
      <c r="U27" s="175">
        <f>Data!CU26</f>
        <v>38</v>
      </c>
      <c r="V27" s="175">
        <f t="shared" si="0"/>
        <v>615</v>
      </c>
      <c r="W27" s="67"/>
    </row>
    <row r="28" spans="1:23" ht="12" customHeight="1">
      <c r="A28" s="65"/>
      <c r="B28" s="150" t="str">
        <f>UPPER(LEFT(TRIM(Data!B27),1)) &amp; MID(TRIM(Data!B27),2,50)</f>
        <v>Kiaušidžių</v>
      </c>
      <c r="C28" s="150" t="str">
        <f>Data!C27</f>
        <v>C56</v>
      </c>
      <c r="D28" s="169">
        <f>Data!CD27</f>
        <v>0</v>
      </c>
      <c r="E28" s="169">
        <f>Data!CE27</f>
        <v>1</v>
      </c>
      <c r="F28" s="169">
        <f>Data!CF27</f>
        <v>1</v>
      </c>
      <c r="G28" s="169">
        <f>Data!CG27</f>
        <v>1</v>
      </c>
      <c r="H28" s="169">
        <f>Data!CH27</f>
        <v>3</v>
      </c>
      <c r="I28" s="169">
        <f>Data!CI27</f>
        <v>6</v>
      </c>
      <c r="J28" s="169">
        <f>Data!CJ27</f>
        <v>2</v>
      </c>
      <c r="K28" s="169">
        <f>Data!CK27</f>
        <v>8</v>
      </c>
      <c r="L28" s="169">
        <f>Data!CL27</f>
        <v>15</v>
      </c>
      <c r="M28" s="169">
        <f>Data!CM27</f>
        <v>30</v>
      </c>
      <c r="N28" s="169">
        <f>Data!CN27</f>
        <v>34</v>
      </c>
      <c r="O28" s="169">
        <f>Data!CO27</f>
        <v>37</v>
      </c>
      <c r="P28" s="169">
        <f>Data!CP27</f>
        <v>47</v>
      </c>
      <c r="Q28" s="169">
        <f>Data!CQ27</f>
        <v>41</v>
      </c>
      <c r="R28" s="169">
        <f>Data!CR27</f>
        <v>51</v>
      </c>
      <c r="S28" s="169">
        <f>Data!CS27</f>
        <v>41</v>
      </c>
      <c r="T28" s="169">
        <f>Data!CT27</f>
        <v>37</v>
      </c>
      <c r="U28" s="169">
        <f>Data!CU27</f>
        <v>30</v>
      </c>
      <c r="V28" s="169">
        <f t="shared" si="0"/>
        <v>385</v>
      </c>
      <c r="W28" s="67"/>
    </row>
    <row r="29" spans="1:23" ht="12" customHeight="1">
      <c r="A29" s="65"/>
      <c r="B29" s="145" t="str">
        <f>UPPER(LEFT(TRIM(Data!B30),1)) &amp; MID(TRIM(Data!B30),2,50)</f>
        <v>Kitų lyties organų</v>
      </c>
      <c r="C29" s="174" t="s">
        <v>418</v>
      </c>
      <c r="D29" s="175">
        <f>Data!CD30</f>
        <v>0</v>
      </c>
      <c r="E29" s="175">
        <f>Data!CE30</f>
        <v>0</v>
      </c>
      <c r="F29" s="175">
        <f>Data!CF30</f>
        <v>0</v>
      </c>
      <c r="G29" s="175">
        <f>Data!CG30</f>
        <v>0</v>
      </c>
      <c r="H29" s="175">
        <f>Data!CH30</f>
        <v>0</v>
      </c>
      <c r="I29" s="175">
        <f>Data!CI30</f>
        <v>0</v>
      </c>
      <c r="J29" s="175">
        <f>Data!CJ30</f>
        <v>0</v>
      </c>
      <c r="K29" s="175">
        <f>Data!CK30</f>
        <v>0</v>
      </c>
      <c r="L29" s="175">
        <f>Data!CL30</f>
        <v>0</v>
      </c>
      <c r="M29" s="175">
        <f>Data!CM30</f>
        <v>3</v>
      </c>
      <c r="N29" s="175">
        <f>Data!CN30</f>
        <v>1</v>
      </c>
      <c r="O29" s="175">
        <f>Data!CO30</f>
        <v>2</v>
      </c>
      <c r="P29" s="175">
        <f>Data!CP30</f>
        <v>2</v>
      </c>
      <c r="Q29" s="175">
        <f>Data!CQ30</f>
        <v>7</v>
      </c>
      <c r="R29" s="175">
        <f>Data!CR30</f>
        <v>3</v>
      </c>
      <c r="S29" s="175">
        <f>Data!CS30</f>
        <v>6</v>
      </c>
      <c r="T29" s="175">
        <f>Data!CT30</f>
        <v>5</v>
      </c>
      <c r="U29" s="175">
        <f>Data!CU30</f>
        <v>6</v>
      </c>
      <c r="V29" s="175">
        <f t="shared" si="0"/>
        <v>35</v>
      </c>
      <c r="W29" s="67"/>
    </row>
    <row r="30" spans="1:23" ht="12" customHeight="1">
      <c r="A30" s="65"/>
      <c r="B30" s="150" t="str">
        <f>UPPER(LEFT(TRIM(Data!B31),1)) &amp; MID(TRIM(Data!B31),2,50)</f>
        <v>Inkstų</v>
      </c>
      <c r="C30" s="150" t="str">
        <f>Data!C31</f>
        <v>C64</v>
      </c>
      <c r="D30" s="169">
        <f>Data!CD31</f>
        <v>2</v>
      </c>
      <c r="E30" s="169">
        <f>Data!CE31</f>
        <v>1</v>
      </c>
      <c r="F30" s="169">
        <f>Data!CF31</f>
        <v>0</v>
      </c>
      <c r="G30" s="169">
        <f>Data!CG31</f>
        <v>1</v>
      </c>
      <c r="H30" s="169">
        <f>Data!CH31</f>
        <v>1</v>
      </c>
      <c r="I30" s="169">
        <f>Data!CI31</f>
        <v>0</v>
      </c>
      <c r="J30" s="169">
        <f>Data!CJ31</f>
        <v>0</v>
      </c>
      <c r="K30" s="169">
        <f>Data!CK31</f>
        <v>3</v>
      </c>
      <c r="L30" s="169">
        <f>Data!CL31</f>
        <v>3</v>
      </c>
      <c r="M30" s="169">
        <f>Data!CM31</f>
        <v>6</v>
      </c>
      <c r="N30" s="169">
        <f>Data!CN31</f>
        <v>20</v>
      </c>
      <c r="O30" s="169">
        <f>Data!CO31</f>
        <v>24</v>
      </c>
      <c r="P30" s="169">
        <f>Data!CP31</f>
        <v>37</v>
      </c>
      <c r="Q30" s="169">
        <f>Data!CQ31</f>
        <v>52</v>
      </c>
      <c r="R30" s="169">
        <f>Data!CR31</f>
        <v>31</v>
      </c>
      <c r="S30" s="169">
        <f>Data!CS31</f>
        <v>54</v>
      </c>
      <c r="T30" s="169">
        <f>Data!CT31</f>
        <v>34</v>
      </c>
      <c r="U30" s="169">
        <f>Data!CU31</f>
        <v>14</v>
      </c>
      <c r="V30" s="169">
        <f t="shared" si="0"/>
        <v>283</v>
      </c>
      <c r="W30" s="67"/>
    </row>
    <row r="31" spans="1:23" ht="12" customHeight="1">
      <c r="A31" s="65"/>
      <c r="B31" s="145" t="str">
        <f>UPPER(LEFT(TRIM(Data!B32),1)) &amp; MID(TRIM(Data!B32),2,50)</f>
        <v>Šlapimo pūslės</v>
      </c>
      <c r="C31" s="174" t="str">
        <f>Data!C32</f>
        <v>C67</v>
      </c>
      <c r="D31" s="175">
        <f>Data!CD32</f>
        <v>0</v>
      </c>
      <c r="E31" s="175">
        <f>Data!CE32</f>
        <v>0</v>
      </c>
      <c r="F31" s="175">
        <f>Data!CF32</f>
        <v>0</v>
      </c>
      <c r="G31" s="175">
        <f>Data!CG32</f>
        <v>0</v>
      </c>
      <c r="H31" s="175">
        <f>Data!CH32</f>
        <v>0</v>
      </c>
      <c r="I31" s="175">
        <f>Data!CI32</f>
        <v>0</v>
      </c>
      <c r="J31" s="175">
        <f>Data!CJ32</f>
        <v>0</v>
      </c>
      <c r="K31" s="175">
        <f>Data!CK32</f>
        <v>2</v>
      </c>
      <c r="L31" s="175">
        <f>Data!CL32</f>
        <v>0</v>
      </c>
      <c r="M31" s="175">
        <f>Data!CM32</f>
        <v>1</v>
      </c>
      <c r="N31" s="175">
        <f>Data!CN32</f>
        <v>3</v>
      </c>
      <c r="O31" s="175">
        <f>Data!CO32</f>
        <v>1</v>
      </c>
      <c r="P31" s="175">
        <f>Data!CP32</f>
        <v>8</v>
      </c>
      <c r="Q31" s="175">
        <f>Data!CQ32</f>
        <v>10</v>
      </c>
      <c r="R31" s="175">
        <f>Data!CR32</f>
        <v>9</v>
      </c>
      <c r="S31" s="175">
        <f>Data!CS32</f>
        <v>16</v>
      </c>
      <c r="T31" s="175">
        <f>Data!CT32</f>
        <v>18</v>
      </c>
      <c r="U31" s="175">
        <f>Data!CU32</f>
        <v>25</v>
      </c>
      <c r="V31" s="175">
        <f t="shared" si="0"/>
        <v>93</v>
      </c>
      <c r="W31" s="67"/>
    </row>
    <row r="32" spans="1:23" ht="12" customHeight="1">
      <c r="A32" s="65"/>
      <c r="B32" s="150" t="str">
        <f>UPPER(LEFT(TRIM(Data!B33),1)) &amp; MID(TRIM(Data!B33),2,50)</f>
        <v>Kitų šlapimą išskiriančių organų</v>
      </c>
      <c r="C32" s="150" t="str">
        <f>Data!C33</f>
        <v>C65, C66, C68</v>
      </c>
      <c r="D32" s="169">
        <f>Data!CD33</f>
        <v>0</v>
      </c>
      <c r="E32" s="169">
        <f>Data!CE33</f>
        <v>0</v>
      </c>
      <c r="F32" s="169">
        <f>Data!CF33</f>
        <v>0</v>
      </c>
      <c r="G32" s="169">
        <f>Data!CG33</f>
        <v>0</v>
      </c>
      <c r="H32" s="169">
        <f>Data!CH33</f>
        <v>0</v>
      </c>
      <c r="I32" s="169">
        <f>Data!CI33</f>
        <v>0</v>
      </c>
      <c r="J32" s="169">
        <f>Data!CJ33</f>
        <v>0</v>
      </c>
      <c r="K32" s="169">
        <f>Data!CK33</f>
        <v>0</v>
      </c>
      <c r="L32" s="169">
        <f>Data!CL33</f>
        <v>0</v>
      </c>
      <c r="M32" s="169">
        <f>Data!CM33</f>
        <v>0</v>
      </c>
      <c r="N32" s="169">
        <f>Data!CN33</f>
        <v>1</v>
      </c>
      <c r="O32" s="169">
        <f>Data!CO33</f>
        <v>0</v>
      </c>
      <c r="P32" s="169">
        <f>Data!CP33</f>
        <v>4</v>
      </c>
      <c r="Q32" s="169">
        <f>Data!CQ33</f>
        <v>1</v>
      </c>
      <c r="R32" s="169">
        <f>Data!CR33</f>
        <v>4</v>
      </c>
      <c r="S32" s="169">
        <f>Data!CS33</f>
        <v>4</v>
      </c>
      <c r="T32" s="169">
        <f>Data!CT33</f>
        <v>8</v>
      </c>
      <c r="U32" s="169">
        <f>Data!CU33</f>
        <v>4</v>
      </c>
      <c r="V32" s="169">
        <f t="shared" si="0"/>
        <v>26</v>
      </c>
      <c r="W32" s="67"/>
    </row>
    <row r="33" spans="1:23" ht="12" customHeight="1">
      <c r="A33" s="65"/>
      <c r="B33" s="145" t="str">
        <f>UPPER(LEFT(TRIM(Data!B34),1)) &amp; MID(TRIM(Data!B34),2,50)</f>
        <v>Akių</v>
      </c>
      <c r="C33" s="174" t="str">
        <f>Data!C34</f>
        <v>C69</v>
      </c>
      <c r="D33" s="175">
        <f>Data!CD34</f>
        <v>0</v>
      </c>
      <c r="E33" s="175">
        <f>Data!CE34</f>
        <v>0</v>
      </c>
      <c r="F33" s="175">
        <f>Data!CF34</f>
        <v>0</v>
      </c>
      <c r="G33" s="175">
        <f>Data!CG34</f>
        <v>0</v>
      </c>
      <c r="H33" s="175">
        <f>Data!CH34</f>
        <v>0</v>
      </c>
      <c r="I33" s="175">
        <f>Data!CI34</f>
        <v>0</v>
      </c>
      <c r="J33" s="175">
        <f>Data!CJ34</f>
        <v>0</v>
      </c>
      <c r="K33" s="175">
        <f>Data!CK34</f>
        <v>0</v>
      </c>
      <c r="L33" s="175">
        <f>Data!CL34</f>
        <v>2</v>
      </c>
      <c r="M33" s="175">
        <f>Data!CM34</f>
        <v>0</v>
      </c>
      <c r="N33" s="175">
        <f>Data!CN34</f>
        <v>1</v>
      </c>
      <c r="O33" s="175">
        <f>Data!CO34</f>
        <v>1</v>
      </c>
      <c r="P33" s="175">
        <f>Data!CP34</f>
        <v>2</v>
      </c>
      <c r="Q33" s="175">
        <f>Data!CQ34</f>
        <v>1</v>
      </c>
      <c r="R33" s="175">
        <f>Data!CR34</f>
        <v>1</v>
      </c>
      <c r="S33" s="175">
        <f>Data!CS34</f>
        <v>4</v>
      </c>
      <c r="T33" s="175">
        <f>Data!CT34</f>
        <v>3</v>
      </c>
      <c r="U33" s="175">
        <f>Data!CU34</f>
        <v>2</v>
      </c>
      <c r="V33" s="175">
        <f t="shared" si="0"/>
        <v>17</v>
      </c>
      <c r="W33" s="67"/>
    </row>
    <row r="34" spans="1:23" ht="12" customHeight="1">
      <c r="A34" s="65"/>
      <c r="B34" s="150" t="str">
        <f>UPPER(LEFT(TRIM(Data!B35),1)) &amp; MID(TRIM(Data!B35),2,50)</f>
        <v>Smegenų</v>
      </c>
      <c r="C34" s="150" t="str">
        <f>Data!C35</f>
        <v>C70-C72</v>
      </c>
      <c r="D34" s="169">
        <f>Data!CD35</f>
        <v>2</v>
      </c>
      <c r="E34" s="169">
        <f>Data!CE35</f>
        <v>7</v>
      </c>
      <c r="F34" s="169">
        <f>Data!CF35</f>
        <v>1</v>
      </c>
      <c r="G34" s="169">
        <f>Data!CG35</f>
        <v>0</v>
      </c>
      <c r="H34" s="169">
        <f>Data!CH35</f>
        <v>4</v>
      </c>
      <c r="I34" s="169">
        <f>Data!CI35</f>
        <v>3</v>
      </c>
      <c r="J34" s="169">
        <f>Data!CJ35</f>
        <v>4</v>
      </c>
      <c r="K34" s="169">
        <f>Data!CK35</f>
        <v>0</v>
      </c>
      <c r="L34" s="169">
        <f>Data!CL35</f>
        <v>3</v>
      </c>
      <c r="M34" s="169">
        <f>Data!CM35</f>
        <v>4</v>
      </c>
      <c r="N34" s="169">
        <f>Data!CN35</f>
        <v>11</v>
      </c>
      <c r="O34" s="169">
        <f>Data!CO35</f>
        <v>8</v>
      </c>
      <c r="P34" s="169">
        <f>Data!CP35</f>
        <v>14</v>
      </c>
      <c r="Q34" s="169">
        <f>Data!CQ35</f>
        <v>23</v>
      </c>
      <c r="R34" s="169">
        <f>Data!CR35</f>
        <v>20</v>
      </c>
      <c r="S34" s="169">
        <f>Data!CS35</f>
        <v>15</v>
      </c>
      <c r="T34" s="169">
        <f>Data!CT35</f>
        <v>10</v>
      </c>
      <c r="U34" s="169">
        <f>Data!CU35</f>
        <v>12</v>
      </c>
      <c r="V34" s="169">
        <f t="shared" si="0"/>
        <v>141</v>
      </c>
      <c r="W34" s="67"/>
    </row>
    <row r="35" spans="1:23" ht="12" customHeight="1">
      <c r="A35" s="65"/>
      <c r="B35" s="145" t="str">
        <f>UPPER(LEFT(TRIM(Data!B36),1)) &amp; MID(TRIM(Data!B36),2,50)</f>
        <v>Skydliaukės</v>
      </c>
      <c r="C35" s="174" t="str">
        <f>Data!C36</f>
        <v>C73</v>
      </c>
      <c r="D35" s="175">
        <f>Data!CD36</f>
        <v>0</v>
      </c>
      <c r="E35" s="175">
        <f>Data!CE36</f>
        <v>0</v>
      </c>
      <c r="F35" s="175">
        <f>Data!CF36</f>
        <v>0</v>
      </c>
      <c r="G35" s="175">
        <f>Data!CG36</f>
        <v>6</v>
      </c>
      <c r="H35" s="175">
        <f>Data!CH36</f>
        <v>6</v>
      </c>
      <c r="I35" s="175">
        <f>Data!CI36</f>
        <v>8</v>
      </c>
      <c r="J35" s="175">
        <f>Data!CJ36</f>
        <v>12</v>
      </c>
      <c r="K35" s="175">
        <f>Data!CK36</f>
        <v>22</v>
      </c>
      <c r="L35" s="175">
        <f>Data!CL36</f>
        <v>28</v>
      </c>
      <c r="M35" s="175">
        <f>Data!CM36</f>
        <v>37</v>
      </c>
      <c r="N35" s="175">
        <f>Data!CN36</f>
        <v>27</v>
      </c>
      <c r="O35" s="175">
        <f>Data!CO36</f>
        <v>35</v>
      </c>
      <c r="P35" s="175">
        <f>Data!CP36</f>
        <v>27</v>
      </c>
      <c r="Q35" s="175">
        <f>Data!CQ36</f>
        <v>28</v>
      </c>
      <c r="R35" s="175">
        <f>Data!CR36</f>
        <v>18</v>
      </c>
      <c r="S35" s="175">
        <f>Data!CS36</f>
        <v>14</v>
      </c>
      <c r="T35" s="175">
        <f>Data!CT36</f>
        <v>11</v>
      </c>
      <c r="U35" s="175">
        <f>Data!CU36</f>
        <v>3</v>
      </c>
      <c r="V35" s="175">
        <f t="shared" si="0"/>
        <v>282</v>
      </c>
      <c r="W35" s="67"/>
    </row>
    <row r="36" spans="1:23" ht="12" customHeight="1">
      <c r="A36" s="65"/>
      <c r="B36" s="150" t="str">
        <f>UPPER(LEFT(TRIM(Data!B37),1)) &amp; MID(TRIM(Data!B37),2,50)</f>
        <v>Kitų endokrininių liaukų</v>
      </c>
      <c r="C36" s="150" t="str">
        <f>Data!C37</f>
        <v>C74-C75</v>
      </c>
      <c r="D36" s="169">
        <f>Data!CD37</f>
        <v>0</v>
      </c>
      <c r="E36" s="169">
        <f>Data!CE37</f>
        <v>0</v>
      </c>
      <c r="F36" s="169">
        <f>Data!CF37</f>
        <v>0</v>
      </c>
      <c r="G36" s="169">
        <f>Data!CG37</f>
        <v>0</v>
      </c>
      <c r="H36" s="169">
        <f>Data!CH37</f>
        <v>1</v>
      </c>
      <c r="I36" s="169">
        <f>Data!CI37</f>
        <v>0</v>
      </c>
      <c r="J36" s="169">
        <f>Data!CJ37</f>
        <v>0</v>
      </c>
      <c r="K36" s="169">
        <f>Data!CK37</f>
        <v>0</v>
      </c>
      <c r="L36" s="169">
        <f>Data!CL37</f>
        <v>1</v>
      </c>
      <c r="M36" s="169">
        <f>Data!CM37</f>
        <v>0</v>
      </c>
      <c r="N36" s="169">
        <f>Data!CN37</f>
        <v>1</v>
      </c>
      <c r="O36" s="169">
        <f>Data!CO37</f>
        <v>1</v>
      </c>
      <c r="P36" s="169">
        <f>Data!CP37</f>
        <v>0</v>
      </c>
      <c r="Q36" s="169">
        <f>Data!CQ37</f>
        <v>1</v>
      </c>
      <c r="R36" s="169">
        <f>Data!CR37</f>
        <v>1</v>
      </c>
      <c r="S36" s="169">
        <f>Data!CS37</f>
        <v>0</v>
      </c>
      <c r="T36" s="169">
        <f>Data!CT37</f>
        <v>0</v>
      </c>
      <c r="U36" s="169">
        <f>Data!CU37</f>
        <v>1</v>
      </c>
      <c r="V36" s="169">
        <f t="shared" si="0"/>
        <v>7</v>
      </c>
      <c r="W36" s="67"/>
    </row>
    <row r="37" spans="1:23" ht="12" customHeight="1">
      <c r="A37" s="65"/>
      <c r="B37" s="145" t="str">
        <f>UPPER(LEFT(TRIM(Data!B38),1)) &amp; MID(TRIM(Data!B38),2,50)</f>
        <v>Nepatikslintos lokalizacijos</v>
      </c>
      <c r="C37" s="174" t="str">
        <f>Data!C38</f>
        <v>C76-C80</v>
      </c>
      <c r="D37" s="175">
        <f>Data!CD38</f>
        <v>0</v>
      </c>
      <c r="E37" s="175">
        <f>Data!CE38</f>
        <v>0</v>
      </c>
      <c r="F37" s="175">
        <f>Data!CF38</f>
        <v>0</v>
      </c>
      <c r="G37" s="175">
        <f>Data!CG38</f>
        <v>0</v>
      </c>
      <c r="H37" s="175">
        <f>Data!CH38</f>
        <v>0</v>
      </c>
      <c r="I37" s="175">
        <f>Data!CI38</f>
        <v>1</v>
      </c>
      <c r="J37" s="175">
        <f>Data!CJ38</f>
        <v>1</v>
      </c>
      <c r="K37" s="175">
        <f>Data!CK38</f>
        <v>0</v>
      </c>
      <c r="L37" s="175">
        <f>Data!CL38</f>
        <v>3</v>
      </c>
      <c r="M37" s="175">
        <f>Data!CM38</f>
        <v>5</v>
      </c>
      <c r="N37" s="175">
        <f>Data!CN38</f>
        <v>8</v>
      </c>
      <c r="O37" s="175">
        <f>Data!CO38</f>
        <v>10</v>
      </c>
      <c r="P37" s="175">
        <f>Data!CP38</f>
        <v>16</v>
      </c>
      <c r="Q37" s="175">
        <f>Data!CQ38</f>
        <v>17</v>
      </c>
      <c r="R37" s="175">
        <f>Data!CR38</f>
        <v>22</v>
      </c>
      <c r="S37" s="175">
        <f>Data!CS38</f>
        <v>40</v>
      </c>
      <c r="T37" s="175">
        <f>Data!CT38</f>
        <v>42</v>
      </c>
      <c r="U37" s="175">
        <f>Data!CU38</f>
        <v>40</v>
      </c>
      <c r="V37" s="175">
        <f t="shared" si="0"/>
        <v>205</v>
      </c>
      <c r="W37" s="67"/>
    </row>
    <row r="38" spans="1:23" ht="12" customHeight="1">
      <c r="A38" s="65"/>
      <c r="B38" s="150" t="str">
        <f>UPPER(LEFT(TRIM(Data!B39),1)) &amp; MID(TRIM(Data!B39),2,50)</f>
        <v>Hodžkino limfomos</v>
      </c>
      <c r="C38" s="150" t="str">
        <f>Data!C39</f>
        <v>C81</v>
      </c>
      <c r="D38" s="169">
        <f>Data!CD39</f>
        <v>0</v>
      </c>
      <c r="E38" s="169">
        <f>Data!CE39</f>
        <v>1</v>
      </c>
      <c r="F38" s="169">
        <f>Data!CF39</f>
        <v>3</v>
      </c>
      <c r="G38" s="169">
        <f>Data!CG39</f>
        <v>5</v>
      </c>
      <c r="H38" s="169">
        <f>Data!CH39</f>
        <v>1</v>
      </c>
      <c r="I38" s="169">
        <f>Data!CI39</f>
        <v>4</v>
      </c>
      <c r="J38" s="169">
        <f>Data!CJ39</f>
        <v>3</v>
      </c>
      <c r="K38" s="169">
        <f>Data!CK39</f>
        <v>3</v>
      </c>
      <c r="L38" s="169">
        <f>Data!CL39</f>
        <v>3</v>
      </c>
      <c r="M38" s="169">
        <f>Data!CM39</f>
        <v>0</v>
      </c>
      <c r="N38" s="169">
        <f>Data!CN39</f>
        <v>2</v>
      </c>
      <c r="O38" s="169">
        <f>Data!CO39</f>
        <v>0</v>
      </c>
      <c r="P38" s="169">
        <f>Data!CP39</f>
        <v>2</v>
      </c>
      <c r="Q38" s="169">
        <f>Data!CQ39</f>
        <v>0</v>
      </c>
      <c r="R38" s="169">
        <f>Data!CR39</f>
        <v>3</v>
      </c>
      <c r="S38" s="169">
        <f>Data!CS39</f>
        <v>0</v>
      </c>
      <c r="T38" s="169">
        <f>Data!CT39</f>
        <v>0</v>
      </c>
      <c r="U38" s="169">
        <f>Data!CU39</f>
        <v>0</v>
      </c>
      <c r="V38" s="169">
        <f t="shared" si="0"/>
        <v>30</v>
      </c>
      <c r="W38" s="67"/>
    </row>
    <row r="39" spans="1:23" ht="12" customHeight="1">
      <c r="A39" s="65"/>
      <c r="B39" s="145" t="str">
        <f>UPPER(LEFT(TRIM(Data!B40),1)) &amp; MID(TRIM(Data!B40),2,50)</f>
        <v>Ne Hodžkino limfomos</v>
      </c>
      <c r="C39" s="174" t="str">
        <f>Data!C40</f>
        <v>C82-C85</v>
      </c>
      <c r="D39" s="175">
        <f>Data!CD40</f>
        <v>1</v>
      </c>
      <c r="E39" s="175">
        <f>Data!CE40</f>
        <v>0</v>
      </c>
      <c r="F39" s="175">
        <f>Data!CF40</f>
        <v>0</v>
      </c>
      <c r="G39" s="175">
        <f>Data!CG40</f>
        <v>1</v>
      </c>
      <c r="H39" s="175">
        <f>Data!CH40</f>
        <v>2</v>
      </c>
      <c r="I39" s="175">
        <f>Data!CI40</f>
        <v>5</v>
      </c>
      <c r="J39" s="175">
        <f>Data!CJ40</f>
        <v>3</v>
      </c>
      <c r="K39" s="175">
        <f>Data!CK40</f>
        <v>7</v>
      </c>
      <c r="L39" s="175">
        <f>Data!CL40</f>
        <v>4</v>
      </c>
      <c r="M39" s="175">
        <f>Data!CM40</f>
        <v>9</v>
      </c>
      <c r="N39" s="175">
        <f>Data!CN40</f>
        <v>14</v>
      </c>
      <c r="O39" s="175">
        <f>Data!CO40</f>
        <v>14</v>
      </c>
      <c r="P39" s="175">
        <f>Data!CP40</f>
        <v>21</v>
      </c>
      <c r="Q39" s="175">
        <f>Data!CQ40</f>
        <v>20</v>
      </c>
      <c r="R39" s="175">
        <f>Data!CR40</f>
        <v>34</v>
      </c>
      <c r="S39" s="175">
        <f>Data!CS40</f>
        <v>23</v>
      </c>
      <c r="T39" s="175">
        <f>Data!CT40</f>
        <v>31</v>
      </c>
      <c r="U39" s="175">
        <f>Data!CU40</f>
        <v>16</v>
      </c>
      <c r="V39" s="175">
        <f t="shared" si="0"/>
        <v>205</v>
      </c>
      <c r="W39" s="67"/>
    </row>
    <row r="40" spans="1:23" ht="12" customHeight="1">
      <c r="A40" s="65"/>
      <c r="B40" s="150" t="str">
        <f>UPPER(LEFT(TRIM(Data!B41),1)) &amp; MID(TRIM(Data!B41),2,50)</f>
        <v>Mielominės ligos</v>
      </c>
      <c r="C40" s="150" t="str">
        <f>Data!C41</f>
        <v>C90</v>
      </c>
      <c r="D40" s="169">
        <f>Data!CD41</f>
        <v>0</v>
      </c>
      <c r="E40" s="169">
        <f>Data!CE41</f>
        <v>0</v>
      </c>
      <c r="F40" s="169">
        <f>Data!CF41</f>
        <v>0</v>
      </c>
      <c r="G40" s="169">
        <f>Data!CG41</f>
        <v>0</v>
      </c>
      <c r="H40" s="169">
        <f>Data!CH41</f>
        <v>0</v>
      </c>
      <c r="I40" s="169">
        <f>Data!CI41</f>
        <v>0</v>
      </c>
      <c r="J40" s="169">
        <f>Data!CJ41</f>
        <v>0</v>
      </c>
      <c r="K40" s="169">
        <f>Data!CK41</f>
        <v>1</v>
      </c>
      <c r="L40" s="169">
        <f>Data!CL41</f>
        <v>2</v>
      </c>
      <c r="M40" s="169">
        <f>Data!CM41</f>
        <v>0</v>
      </c>
      <c r="N40" s="169">
        <f>Data!CN41</f>
        <v>6</v>
      </c>
      <c r="O40" s="169">
        <f>Data!CO41</f>
        <v>6</v>
      </c>
      <c r="P40" s="169">
        <f>Data!CP41</f>
        <v>10</v>
      </c>
      <c r="Q40" s="169">
        <f>Data!CQ41</f>
        <v>10</v>
      </c>
      <c r="R40" s="169">
        <f>Data!CR41</f>
        <v>20</v>
      </c>
      <c r="S40" s="169">
        <f>Data!CS41</f>
        <v>16</v>
      </c>
      <c r="T40" s="169">
        <f>Data!CT41</f>
        <v>11</v>
      </c>
      <c r="U40" s="169">
        <f>Data!CU41</f>
        <v>6</v>
      </c>
      <c r="V40" s="169">
        <f t="shared" si="0"/>
        <v>88</v>
      </c>
      <c r="W40" s="67"/>
    </row>
    <row r="41" spans="1:23" ht="12" customHeight="1">
      <c r="A41" s="65"/>
      <c r="B41" s="145" t="str">
        <f>UPPER(LEFT(TRIM(Data!B42),1)) &amp; MID(TRIM(Data!B42),2,50)</f>
        <v>Leukemijos</v>
      </c>
      <c r="C41" s="174" t="str">
        <f>Data!C42</f>
        <v>C91-C95</v>
      </c>
      <c r="D41" s="175">
        <f>Data!CD42</f>
        <v>3</v>
      </c>
      <c r="E41" s="175">
        <f>Data!CE42</f>
        <v>2</v>
      </c>
      <c r="F41" s="175">
        <f>Data!CF42</f>
        <v>2</v>
      </c>
      <c r="G41" s="175">
        <f>Data!CG42</f>
        <v>0</v>
      </c>
      <c r="H41" s="175">
        <f>Data!CH42</f>
        <v>0</v>
      </c>
      <c r="I41" s="175">
        <f>Data!CI42</f>
        <v>4</v>
      </c>
      <c r="J41" s="175">
        <f>Data!CJ42</f>
        <v>2</v>
      </c>
      <c r="K41" s="175">
        <f>Data!CK42</f>
        <v>1</v>
      </c>
      <c r="L41" s="175">
        <f>Data!CL42</f>
        <v>6</v>
      </c>
      <c r="M41" s="175">
        <f>Data!CM42</f>
        <v>3</v>
      </c>
      <c r="N41" s="175">
        <f>Data!CN42</f>
        <v>11</v>
      </c>
      <c r="O41" s="175">
        <f>Data!CO42</f>
        <v>19</v>
      </c>
      <c r="P41" s="175">
        <f>Data!CP42</f>
        <v>15</v>
      </c>
      <c r="Q41" s="175">
        <f>Data!CQ42</f>
        <v>26</v>
      </c>
      <c r="R41" s="175">
        <f>Data!CR42</f>
        <v>27</v>
      </c>
      <c r="S41" s="175">
        <f>Data!CS42</f>
        <v>30</v>
      </c>
      <c r="T41" s="175">
        <f>Data!CT42</f>
        <v>28</v>
      </c>
      <c r="U41" s="175">
        <f>Data!CU42</f>
        <v>18</v>
      </c>
      <c r="V41" s="175">
        <f t="shared" si="0"/>
        <v>197</v>
      </c>
      <c r="W41" s="67"/>
    </row>
    <row r="42" spans="1:23" ht="12" customHeight="1">
      <c r="A42" s="65"/>
      <c r="B42" s="150" t="str">
        <f>UPPER(LEFT(TRIM(Data!B43),1)) &amp; MID(TRIM(Data!B43),2,50)</f>
        <v>Kiti limfinio, kraujodaros audinių</v>
      </c>
      <c r="C42" s="150" t="str">
        <f>Data!C43</f>
        <v>C88, C96</v>
      </c>
      <c r="D42" s="169">
        <f>Data!CD43</f>
        <v>0</v>
      </c>
      <c r="E42" s="169">
        <f>Data!CE43</f>
        <v>0</v>
      </c>
      <c r="F42" s="169">
        <f>Data!CF43</f>
        <v>0</v>
      </c>
      <c r="G42" s="169">
        <f>Data!CG43</f>
        <v>0</v>
      </c>
      <c r="H42" s="169">
        <f>Data!CH43</f>
        <v>0</v>
      </c>
      <c r="I42" s="169">
        <f>Data!CI43</f>
        <v>0</v>
      </c>
      <c r="J42" s="169">
        <f>Data!CJ43</f>
        <v>0</v>
      </c>
      <c r="K42" s="169">
        <f>Data!CK43</f>
        <v>1</v>
      </c>
      <c r="L42" s="169">
        <f>Data!CL43</f>
        <v>0</v>
      </c>
      <c r="M42" s="169">
        <f>Data!CM43</f>
        <v>0</v>
      </c>
      <c r="N42" s="169">
        <f>Data!CN43</f>
        <v>1</v>
      </c>
      <c r="O42" s="169">
        <f>Data!CO43</f>
        <v>0</v>
      </c>
      <c r="P42" s="169">
        <f>Data!CP43</f>
        <v>0</v>
      </c>
      <c r="Q42" s="169">
        <f>Data!CQ43</f>
        <v>0</v>
      </c>
      <c r="R42" s="169">
        <f>Data!CR43</f>
        <v>3</v>
      </c>
      <c r="S42" s="169">
        <f>Data!CS43</f>
        <v>0</v>
      </c>
      <c r="T42" s="169">
        <f>Data!CT43</f>
        <v>1</v>
      </c>
      <c r="U42" s="169">
        <f>Data!CU43</f>
        <v>0</v>
      </c>
      <c r="V42" s="169">
        <f t="shared" si="0"/>
        <v>6</v>
      </c>
      <c r="W42" s="67"/>
    </row>
    <row r="43" spans="1:23" ht="24" customHeight="1">
      <c r="A43" s="65"/>
      <c r="B43" s="149"/>
      <c r="C43" s="176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67"/>
    </row>
    <row r="44" spans="1:23" ht="12" customHeight="1">
      <c r="A44" s="65"/>
      <c r="B44" s="150" t="str">
        <f>UPPER(LEFT(TRIM(Data!B44),1)) &amp; MID(TRIM(Data!B44),2,50)</f>
        <v>Melanoma in situ</v>
      </c>
      <c r="C44" s="150" t="str">
        <f>Data!C44</f>
        <v>D03</v>
      </c>
      <c r="D44" s="169">
        <f>Data!CD44</f>
        <v>0</v>
      </c>
      <c r="E44" s="169">
        <f>Data!CE44</f>
        <v>0</v>
      </c>
      <c r="F44" s="169">
        <f>Data!CF44</f>
        <v>0</v>
      </c>
      <c r="G44" s="169">
        <f>Data!CG44</f>
        <v>0</v>
      </c>
      <c r="H44" s="169">
        <f>Data!CH44</f>
        <v>0</v>
      </c>
      <c r="I44" s="169">
        <f>Data!CI44</f>
        <v>0</v>
      </c>
      <c r="J44" s="169">
        <f>Data!CJ44</f>
        <v>2</v>
      </c>
      <c r="K44" s="169">
        <f>Data!CK44</f>
        <v>1</v>
      </c>
      <c r="L44" s="169">
        <f>Data!CL44</f>
        <v>2</v>
      </c>
      <c r="M44" s="169">
        <f>Data!CM44</f>
        <v>2</v>
      </c>
      <c r="N44" s="169">
        <f>Data!CN44</f>
        <v>2</v>
      </c>
      <c r="O44" s="169">
        <f>Data!CO44</f>
        <v>6</v>
      </c>
      <c r="P44" s="169">
        <f>Data!CP44</f>
        <v>3</v>
      </c>
      <c r="Q44" s="169">
        <f>Data!CQ44</f>
        <v>2</v>
      </c>
      <c r="R44" s="169">
        <f>Data!CR44</f>
        <v>8</v>
      </c>
      <c r="S44" s="169">
        <f>Data!CS44</f>
        <v>3</v>
      </c>
      <c r="T44" s="169">
        <f>Data!CT44</f>
        <v>3</v>
      </c>
      <c r="U44" s="169">
        <f>Data!CU44</f>
        <v>2</v>
      </c>
      <c r="V44" s="169">
        <f t="shared" si="0"/>
        <v>36</v>
      </c>
      <c r="W44" s="67"/>
    </row>
    <row r="45" spans="1:23" ht="12" customHeight="1">
      <c r="A45" s="65"/>
      <c r="B45" s="145" t="str">
        <f>UPPER(LEFT(TRIM(Data!B45),1)) &amp; MID(TRIM(Data!B45),2,50)</f>
        <v>Krūties navikai in situ</v>
      </c>
      <c r="C45" s="174" t="str">
        <f>Data!C45</f>
        <v>D05</v>
      </c>
      <c r="D45" s="175">
        <f>Data!CD45</f>
        <v>0</v>
      </c>
      <c r="E45" s="175">
        <f>Data!CE45</f>
        <v>0</v>
      </c>
      <c r="F45" s="175">
        <f>Data!CF45</f>
        <v>0</v>
      </c>
      <c r="G45" s="175">
        <f>Data!CG45</f>
        <v>0</v>
      </c>
      <c r="H45" s="175">
        <f>Data!CH45</f>
        <v>0</v>
      </c>
      <c r="I45" s="175">
        <f>Data!CI45</f>
        <v>1</v>
      </c>
      <c r="J45" s="175">
        <f>Data!CJ45</f>
        <v>0</v>
      </c>
      <c r="K45" s="175">
        <f>Data!CK45</f>
        <v>4</v>
      </c>
      <c r="L45" s="175">
        <f>Data!CL45</f>
        <v>7</v>
      </c>
      <c r="M45" s="175">
        <f>Data!CM45</f>
        <v>5</v>
      </c>
      <c r="N45" s="175">
        <f>Data!CN45</f>
        <v>24</v>
      </c>
      <c r="O45" s="175">
        <f>Data!CO45</f>
        <v>14</v>
      </c>
      <c r="P45" s="175">
        <f>Data!CP45</f>
        <v>13</v>
      </c>
      <c r="Q45" s="175">
        <f>Data!CQ45</f>
        <v>9</v>
      </c>
      <c r="R45" s="175">
        <f>Data!CR45</f>
        <v>8</v>
      </c>
      <c r="S45" s="175">
        <f>Data!CS45</f>
        <v>3</v>
      </c>
      <c r="T45" s="175">
        <f>Data!CT45</f>
        <v>1</v>
      </c>
      <c r="U45" s="175">
        <f>Data!CU45</f>
        <v>0</v>
      </c>
      <c r="V45" s="175">
        <f t="shared" si="0"/>
        <v>89</v>
      </c>
      <c r="W45" s="67"/>
    </row>
    <row r="46" spans="1:23" ht="12" customHeight="1">
      <c r="A46" s="65"/>
      <c r="B46" s="150" t="str">
        <f>UPPER(LEFT(TRIM(Data!B46),1)) &amp; MID(TRIM(Data!B46),2,50)</f>
        <v>Gimdos kaklelio in situ</v>
      </c>
      <c r="C46" s="150" t="str">
        <f>Data!C46</f>
        <v>D06</v>
      </c>
      <c r="D46" s="169">
        <f>Data!CD46</f>
        <v>0</v>
      </c>
      <c r="E46" s="169">
        <f>Data!CE46</f>
        <v>0</v>
      </c>
      <c r="F46" s="169">
        <f>Data!CF46</f>
        <v>0</v>
      </c>
      <c r="G46" s="169">
        <f>Data!CG46</f>
        <v>0</v>
      </c>
      <c r="H46" s="169">
        <f>Data!CH46</f>
        <v>12</v>
      </c>
      <c r="I46" s="169">
        <f>Data!CI46</f>
        <v>144</v>
      </c>
      <c r="J46" s="169">
        <f>Data!CJ46</f>
        <v>163</v>
      </c>
      <c r="K46" s="169">
        <f>Data!CK46</f>
        <v>128</v>
      </c>
      <c r="L46" s="169">
        <f>Data!CL46</f>
        <v>79</v>
      </c>
      <c r="M46" s="169">
        <f>Data!CM46</f>
        <v>56</v>
      </c>
      <c r="N46" s="169">
        <f>Data!CN46</f>
        <v>38</v>
      </c>
      <c r="O46" s="169">
        <f>Data!CO46</f>
        <v>29</v>
      </c>
      <c r="P46" s="169">
        <f>Data!CP46</f>
        <v>3</v>
      </c>
      <c r="Q46" s="169">
        <f>Data!CQ46</f>
        <v>2</v>
      </c>
      <c r="R46" s="169">
        <f>Data!CR46</f>
        <v>2</v>
      </c>
      <c r="S46" s="169">
        <f>Data!CS46</f>
        <v>2</v>
      </c>
      <c r="T46" s="169">
        <f>Data!CT46</f>
        <v>3</v>
      </c>
      <c r="U46" s="169">
        <f>Data!CU46</f>
        <v>0</v>
      </c>
      <c r="V46" s="169">
        <f t="shared" si="0"/>
        <v>661</v>
      </c>
      <c r="W46" s="67"/>
    </row>
    <row r="47" spans="1:23" ht="12" customHeight="1">
      <c r="A47" s="65"/>
      <c r="B47" s="145" t="str">
        <f>UPPER(LEFT(TRIM(Data!B47),1)) &amp; MID(TRIM(Data!B47),2,50)</f>
        <v>Šlapimo pūslės in situ</v>
      </c>
      <c r="C47" s="174" t="str">
        <f>Data!C47</f>
        <v>D09.0</v>
      </c>
      <c r="D47" s="175">
        <f>Data!CD47</f>
        <v>0</v>
      </c>
      <c r="E47" s="175">
        <f>Data!CE47</f>
        <v>0</v>
      </c>
      <c r="F47" s="175">
        <f>Data!CF47</f>
        <v>0</v>
      </c>
      <c r="G47" s="175">
        <f>Data!CG47</f>
        <v>1</v>
      </c>
      <c r="H47" s="175">
        <f>Data!CH47</f>
        <v>0</v>
      </c>
      <c r="I47" s="175">
        <f>Data!CI47</f>
        <v>0</v>
      </c>
      <c r="J47" s="175">
        <f>Data!CJ47</f>
        <v>0</v>
      </c>
      <c r="K47" s="175">
        <f>Data!CK47</f>
        <v>0</v>
      </c>
      <c r="L47" s="175">
        <f>Data!CL47</f>
        <v>0</v>
      </c>
      <c r="M47" s="175">
        <f>Data!CM47</f>
        <v>2</v>
      </c>
      <c r="N47" s="175">
        <f>Data!CN47</f>
        <v>2</v>
      </c>
      <c r="O47" s="175">
        <f>Data!CO47</f>
        <v>4</v>
      </c>
      <c r="P47" s="175">
        <f>Data!CP47</f>
        <v>7</v>
      </c>
      <c r="Q47" s="175">
        <f>Data!CQ47</f>
        <v>6</v>
      </c>
      <c r="R47" s="175">
        <f>Data!CR47</f>
        <v>3</v>
      </c>
      <c r="S47" s="175">
        <f>Data!CS47</f>
        <v>8</v>
      </c>
      <c r="T47" s="175">
        <f>Data!CT47</f>
        <v>4</v>
      </c>
      <c r="U47" s="175">
        <f>Data!CU47</f>
        <v>2</v>
      </c>
      <c r="V47" s="175">
        <f t="shared" si="0"/>
        <v>39</v>
      </c>
      <c r="W47" s="67"/>
    </row>
    <row r="48" spans="1:23" ht="12" customHeight="1">
      <c r="A48" s="65"/>
      <c r="B48" s="150" t="str">
        <f>UPPER(LEFT(TRIM(Data!B48),1)) &amp; MID(TRIM(Data!B48),2,50)</f>
        <v>Nervų sistemos gerybiniai navikai</v>
      </c>
      <c r="C48" s="150" t="str">
        <f>Data!C48</f>
        <v>D32, D33</v>
      </c>
      <c r="D48" s="169">
        <f>Data!CD48</f>
        <v>2</v>
      </c>
      <c r="E48" s="169">
        <f>Data!CE48</f>
        <v>0</v>
      </c>
      <c r="F48" s="169">
        <f>Data!CF48</f>
        <v>1</v>
      </c>
      <c r="G48" s="169">
        <f>Data!CG48</f>
        <v>0</v>
      </c>
      <c r="H48" s="169">
        <f>Data!CH48</f>
        <v>1</v>
      </c>
      <c r="I48" s="169">
        <f>Data!CI48</f>
        <v>1</v>
      </c>
      <c r="J48" s="169">
        <f>Data!CJ48</f>
        <v>1</v>
      </c>
      <c r="K48" s="169">
        <f>Data!CK48</f>
        <v>5</v>
      </c>
      <c r="L48" s="169">
        <f>Data!CL48</f>
        <v>5</v>
      </c>
      <c r="M48" s="169">
        <f>Data!CM48</f>
        <v>6</v>
      </c>
      <c r="N48" s="169">
        <f>Data!CN48</f>
        <v>17</v>
      </c>
      <c r="O48" s="169">
        <f>Data!CO48</f>
        <v>13</v>
      </c>
      <c r="P48" s="169">
        <f>Data!CP48</f>
        <v>21</v>
      </c>
      <c r="Q48" s="169">
        <f>Data!CQ48</f>
        <v>18</v>
      </c>
      <c r="R48" s="169">
        <f>Data!CR48</f>
        <v>24</v>
      </c>
      <c r="S48" s="169">
        <f>Data!CS48</f>
        <v>19</v>
      </c>
      <c r="T48" s="169">
        <f>Data!CT48</f>
        <v>9</v>
      </c>
      <c r="U48" s="169">
        <f>Data!CU48</f>
        <v>5</v>
      </c>
      <c r="V48" s="169">
        <f t="shared" si="0"/>
        <v>148</v>
      </c>
      <c r="W48" s="67"/>
    </row>
    <row r="49" spans="1:23" ht="12" customHeight="1">
      <c r="A49" s="65"/>
      <c r="B49" s="145" t="str">
        <f>UPPER(LEFT(TRIM(Data!B49),1)) &amp; MID(TRIM(Data!B49),2,50)</f>
        <v>Kiaušidžių</v>
      </c>
      <c r="C49" s="174" t="str">
        <f>Data!C49</f>
        <v>D39.1</v>
      </c>
      <c r="D49" s="175">
        <f>Data!CD49</f>
        <v>0</v>
      </c>
      <c r="E49" s="175">
        <f>Data!CE49</f>
        <v>0</v>
      </c>
      <c r="F49" s="175">
        <f>Data!CF49</f>
        <v>0</v>
      </c>
      <c r="G49" s="175">
        <f>Data!CG49</f>
        <v>2</v>
      </c>
      <c r="H49" s="175">
        <f>Data!CH49</f>
        <v>1</v>
      </c>
      <c r="I49" s="175">
        <f>Data!CI49</f>
        <v>3</v>
      </c>
      <c r="J49" s="175">
        <f>Data!CJ49</f>
        <v>5</v>
      </c>
      <c r="K49" s="175">
        <f>Data!CK49</f>
        <v>10</v>
      </c>
      <c r="L49" s="175">
        <f>Data!CL49</f>
        <v>6</v>
      </c>
      <c r="M49" s="175">
        <f>Data!CM49</f>
        <v>6</v>
      </c>
      <c r="N49" s="175">
        <f>Data!CN49</f>
        <v>9</v>
      </c>
      <c r="O49" s="175">
        <f>Data!CO49</f>
        <v>8</v>
      </c>
      <c r="P49" s="175">
        <f>Data!CP49</f>
        <v>4</v>
      </c>
      <c r="Q49" s="175">
        <f>Data!CQ49</f>
        <v>4</v>
      </c>
      <c r="R49" s="175">
        <f>Data!CR49</f>
        <v>5</v>
      </c>
      <c r="S49" s="175">
        <f>Data!CS49</f>
        <v>3</v>
      </c>
      <c r="T49" s="175">
        <f>Data!CT49</f>
        <v>1</v>
      </c>
      <c r="U49" s="175">
        <f>Data!CU49</f>
        <v>0</v>
      </c>
      <c r="V49" s="175">
        <f t="shared" si="0"/>
        <v>67</v>
      </c>
      <c r="W49" s="67"/>
    </row>
    <row r="50" spans="1:23" ht="12" customHeight="1">
      <c r="A50" s="65"/>
      <c r="B50" s="150" t="str">
        <f>UPPER(LEFT(TRIM(Data!B50),1)) &amp; MID(TRIM(Data!B50),2,50)</f>
        <v>Kiti nervų sistemos</v>
      </c>
      <c r="C50" s="150" t="str">
        <f>Data!C50</f>
        <v>D42, D43</v>
      </c>
      <c r="D50" s="169">
        <f>Data!CD50</f>
        <v>1</v>
      </c>
      <c r="E50" s="169">
        <f>Data!CE50</f>
        <v>0</v>
      </c>
      <c r="F50" s="169">
        <f>Data!CF50</f>
        <v>1</v>
      </c>
      <c r="G50" s="169">
        <f>Data!CG50</f>
        <v>0</v>
      </c>
      <c r="H50" s="169">
        <f>Data!CH50</f>
        <v>0</v>
      </c>
      <c r="I50" s="169">
        <f>Data!CI50</f>
        <v>0</v>
      </c>
      <c r="J50" s="169">
        <f>Data!CJ50</f>
        <v>0</v>
      </c>
      <c r="K50" s="169">
        <f>Data!CK50</f>
        <v>1</v>
      </c>
      <c r="L50" s="169">
        <f>Data!CL50</f>
        <v>0</v>
      </c>
      <c r="M50" s="169">
        <f>Data!CM50</f>
        <v>1</v>
      </c>
      <c r="N50" s="169">
        <f>Data!CN50</f>
        <v>1</v>
      </c>
      <c r="O50" s="169">
        <f>Data!CO50</f>
        <v>3</v>
      </c>
      <c r="P50" s="169">
        <f>Data!CP50</f>
        <v>3</v>
      </c>
      <c r="Q50" s="169">
        <f>Data!CQ50</f>
        <v>3</v>
      </c>
      <c r="R50" s="169">
        <f>Data!CR50</f>
        <v>4</v>
      </c>
      <c r="S50" s="169">
        <f>Data!CS50</f>
        <v>2</v>
      </c>
      <c r="T50" s="169">
        <f>Data!CT50</f>
        <v>5</v>
      </c>
      <c r="U50" s="169">
        <f>Data!CU50</f>
        <v>5</v>
      </c>
      <c r="V50" s="169">
        <f t="shared" si="0"/>
        <v>30</v>
      </c>
      <c r="W50" s="67"/>
    </row>
    <row r="51" spans="1:23" ht="12" customHeight="1">
      <c r="A51" s="65"/>
      <c r="B51" s="145" t="str">
        <f>UPPER(LEFT(TRIM(Data!B51),1)) &amp; MID(TRIM(Data!B51),2,50)</f>
        <v>Limfinio ir kraujodaros audinių</v>
      </c>
      <c r="C51" s="174" t="str">
        <f>Data!C51</f>
        <v>D45-D47</v>
      </c>
      <c r="D51" s="175">
        <f>Data!CD51</f>
        <v>0</v>
      </c>
      <c r="E51" s="175">
        <f>Data!CE51</f>
        <v>0</v>
      </c>
      <c r="F51" s="175">
        <f>Data!CF51</f>
        <v>1</v>
      </c>
      <c r="G51" s="175">
        <f>Data!CG51</f>
        <v>0</v>
      </c>
      <c r="H51" s="175">
        <f>Data!CH51</f>
        <v>2</v>
      </c>
      <c r="I51" s="175">
        <f>Data!CI51</f>
        <v>1</v>
      </c>
      <c r="J51" s="175">
        <f>Data!CJ51</f>
        <v>8</v>
      </c>
      <c r="K51" s="175">
        <f>Data!CK51</f>
        <v>6</v>
      </c>
      <c r="L51" s="175">
        <f>Data!CL51</f>
        <v>6</v>
      </c>
      <c r="M51" s="175">
        <f>Data!CM51</f>
        <v>7</v>
      </c>
      <c r="N51" s="175">
        <f>Data!CN51</f>
        <v>5</v>
      </c>
      <c r="O51" s="175">
        <f>Data!CO51</f>
        <v>19</v>
      </c>
      <c r="P51" s="175">
        <f>Data!CP51</f>
        <v>22</v>
      </c>
      <c r="Q51" s="175">
        <f>Data!CQ51</f>
        <v>28</v>
      </c>
      <c r="R51" s="175">
        <f>Data!CR51</f>
        <v>37</v>
      </c>
      <c r="S51" s="175">
        <f>Data!CS51</f>
        <v>31</v>
      </c>
      <c r="T51" s="175">
        <f>Data!CT51</f>
        <v>35</v>
      </c>
      <c r="U51" s="175">
        <f>Data!CU51</f>
        <v>29</v>
      </c>
      <c r="V51" s="175">
        <f t="shared" si="0"/>
        <v>237</v>
      </c>
      <c r="W51" s="67"/>
    </row>
    <row r="52" spans="1:23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7"/>
      <c r="W52" s="67"/>
    </row>
    <row r="53" spans="1:23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7"/>
      <c r="W53" s="67"/>
    </row>
  </sheetData>
  <mergeCells count="4">
    <mergeCell ref="D4:U4"/>
    <mergeCell ref="B4:B5"/>
    <mergeCell ref="C4:C5"/>
    <mergeCell ref="V4:V5"/>
  </mergeCells>
  <phoneticPr fontId="13" type="noConversion"/>
  <pageMargins left="0.59055118110236227" right="0.62992125984251968" top="1.5748031496062993" bottom="1.968503937007874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/>
  </sheetPr>
  <dimension ref="A1:W51"/>
  <sheetViews>
    <sheetView workbookViewId="0">
      <selection activeCell="K3" sqref="K3"/>
    </sheetView>
  </sheetViews>
  <sheetFormatPr defaultRowHeight="11.25"/>
  <cols>
    <col min="1" max="1" width="1.7109375" style="183" customWidth="1"/>
    <col min="2" max="2" width="28.7109375" style="183" customWidth="1"/>
    <col min="3" max="3" width="23.7109375" style="183" customWidth="1"/>
    <col min="4" max="14" width="6" style="183" customWidth="1"/>
    <col min="15" max="21" width="6.28515625" style="183" customWidth="1"/>
    <col min="22" max="22" width="7.28515625" style="183" customWidth="1"/>
    <col min="23" max="27" width="0.85546875" style="183" customWidth="1"/>
    <col min="28" max="16384" width="9.140625" style="183"/>
  </cols>
  <sheetData>
    <row r="1" spans="1:23" ht="15">
      <c r="A1" s="182"/>
      <c r="B1" s="433" t="s">
        <v>404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</row>
    <row r="2" spans="1:23" ht="12.75" customHeight="1">
      <c r="A2" s="184"/>
      <c r="B2" s="185"/>
      <c r="C2" s="185"/>
      <c r="D2" s="316">
        <f>Lent02v!S4</f>
        <v>77411</v>
      </c>
      <c r="E2" s="316">
        <f>Lent02v!T4</f>
        <v>71269</v>
      </c>
      <c r="F2" s="316">
        <f>Lent02v!U4</f>
        <v>68846</v>
      </c>
      <c r="G2" s="316">
        <f>Lent02v!V4</f>
        <v>85448</v>
      </c>
      <c r="H2" s="316">
        <f>Lent02v!W4</f>
        <v>103455</v>
      </c>
      <c r="I2" s="316">
        <f>Lent02v!X4</f>
        <v>100471</v>
      </c>
      <c r="J2" s="316">
        <f>Lent02v!Y4</f>
        <v>90329</v>
      </c>
      <c r="K2" s="316">
        <f>Lent02v!Z4</f>
        <v>87159</v>
      </c>
      <c r="L2" s="316">
        <f>Lent02v!AA4</f>
        <v>95371</v>
      </c>
      <c r="M2" s="316">
        <f>Lent02v!AB4</f>
        <v>98989</v>
      </c>
      <c r="N2" s="316">
        <f>Lent02v!AC4</f>
        <v>105736</v>
      </c>
      <c r="O2" s="316">
        <f>Lent02v!AD4</f>
        <v>96361</v>
      </c>
      <c r="P2" s="316">
        <f>Lent02v!AE4</f>
        <v>72856</v>
      </c>
      <c r="Q2" s="316">
        <f>Lent02v!AF4</f>
        <v>57241</v>
      </c>
      <c r="R2" s="316">
        <f>Lent02v!AG4</f>
        <v>47318</v>
      </c>
      <c r="S2" s="316">
        <f>Lent02v!AH4</f>
        <v>39525</v>
      </c>
      <c r="T2" s="316">
        <f>Lent02v!AI4</f>
        <v>24886</v>
      </c>
      <c r="U2" s="316">
        <f>Lent02vm!AJ4</f>
        <v>15261</v>
      </c>
      <c r="V2" s="316">
        <f>SUM(D2:U2)</f>
        <v>1337932</v>
      </c>
      <c r="W2" s="182"/>
    </row>
    <row r="3" spans="1:23" ht="12.75" customHeight="1">
      <c r="A3" s="184"/>
      <c r="B3" s="185" t="str">
        <f>"Sergamumo piktybiniais navikais rodiklis pagal amžių  " &amp; GrafikaiSerg!A1 &amp; " metais. Vyrai. (100 000 gyventojų)"</f>
        <v>Sergamumo piktybiniais navikais rodiklis pagal amžių  2015 metais. Vyrai. (100 000 gyventojų)</v>
      </c>
      <c r="C3" s="184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</row>
    <row r="4" spans="1:23" ht="12.75" customHeight="1">
      <c r="A4" s="184"/>
      <c r="B4" s="184"/>
      <c r="C4" s="184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2"/>
    </row>
    <row r="5" spans="1:23" ht="12" customHeight="1">
      <c r="A5" s="184"/>
      <c r="B5" s="536" t="s">
        <v>243</v>
      </c>
      <c r="C5" s="536" t="s">
        <v>244</v>
      </c>
      <c r="D5" s="538" t="s">
        <v>419</v>
      </c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40"/>
      <c r="V5" s="541" t="s">
        <v>427</v>
      </c>
      <c r="W5" s="182"/>
    </row>
    <row r="6" spans="1:23" ht="12" customHeight="1" thickBot="1">
      <c r="A6" s="182"/>
      <c r="B6" s="537"/>
      <c r="C6" s="537"/>
      <c r="D6" s="200" t="s">
        <v>13</v>
      </c>
      <c r="E6" s="200" t="s">
        <v>11</v>
      </c>
      <c r="F6" s="200" t="s">
        <v>12</v>
      </c>
      <c r="G6" s="200" t="s">
        <v>14</v>
      </c>
      <c r="H6" s="200" t="s">
        <v>15</v>
      </c>
      <c r="I6" s="199" t="s">
        <v>16</v>
      </c>
      <c r="J6" s="199" t="s">
        <v>158</v>
      </c>
      <c r="K6" s="199" t="s">
        <v>17</v>
      </c>
      <c r="L6" s="199" t="s">
        <v>18</v>
      </c>
      <c r="M6" s="199" t="s">
        <v>19</v>
      </c>
      <c r="N6" s="199" t="s">
        <v>20</v>
      </c>
      <c r="O6" s="199" t="s">
        <v>21</v>
      </c>
      <c r="P6" s="199" t="s">
        <v>159</v>
      </c>
      <c r="Q6" s="199" t="s">
        <v>160</v>
      </c>
      <c r="R6" s="199" t="s">
        <v>161</v>
      </c>
      <c r="S6" s="199" t="s">
        <v>162</v>
      </c>
      <c r="T6" s="199" t="s">
        <v>22</v>
      </c>
      <c r="U6" s="199" t="s">
        <v>23</v>
      </c>
      <c r="V6" s="542"/>
      <c r="W6" s="182"/>
    </row>
    <row r="7" spans="1:23" ht="12" customHeight="1" thickTop="1">
      <c r="A7" s="182"/>
      <c r="B7" s="187" t="str">
        <f>UPPER(LEFT(TRIM(Data!B5),1)) &amp; MID(TRIM(Data!B5),2,50)</f>
        <v>Piktybiniai navikai</v>
      </c>
      <c r="C7" s="188" t="str">
        <f>Data!C5</f>
        <v>C00-C96</v>
      </c>
      <c r="D7" s="205">
        <f>Data!Q5/D$2*100000</f>
        <v>33.586957925876163</v>
      </c>
      <c r="E7" s="205">
        <f>Data!R5/E$2*100000</f>
        <v>14.031346027024373</v>
      </c>
      <c r="F7" s="205">
        <f>Data!S5/F$2*100000</f>
        <v>14.525172123289662</v>
      </c>
      <c r="G7" s="205">
        <f>Data!T5/G$2*100000</f>
        <v>9.3624192491339766</v>
      </c>
      <c r="H7" s="205">
        <f>Data!U5/H$2*100000</f>
        <v>20.298680585761925</v>
      </c>
      <c r="I7" s="205">
        <f>Data!V5/I$2*100000</f>
        <v>32.845298643389633</v>
      </c>
      <c r="J7" s="205">
        <f>Data!W5/J$2*100000</f>
        <v>45.389631236922803</v>
      </c>
      <c r="K7" s="205">
        <f>Data!X5/K$2*100000</f>
        <v>74.576348971420046</v>
      </c>
      <c r="L7" s="205">
        <f>Data!Y5/L$2*100000</f>
        <v>155.18344150737647</v>
      </c>
      <c r="M7" s="205">
        <f>Data!Z5/M$2*100000</f>
        <v>237.40011516431119</v>
      </c>
      <c r="N7" s="205">
        <f>Data!AA5/N$2*100000</f>
        <v>670.53794355753951</v>
      </c>
      <c r="O7" s="205">
        <f>Data!AB5/O$2*100000</f>
        <v>1276.4500160853456</v>
      </c>
      <c r="P7" s="205">
        <f>Data!AC5/P$2*100000</f>
        <v>1894.1473591742617</v>
      </c>
      <c r="Q7" s="205">
        <f>Data!AD5/Q$2*100000</f>
        <v>2713.0902674656277</v>
      </c>
      <c r="R7" s="205">
        <f>Data!AE5/R$2*100000</f>
        <v>3167.9276385307917</v>
      </c>
      <c r="S7" s="205">
        <f>Data!AF5/S$2*100000</f>
        <v>2798.2289690069574</v>
      </c>
      <c r="T7" s="205">
        <f>Data!AG5/T$2*100000</f>
        <v>3017.760990114924</v>
      </c>
      <c r="U7" s="205">
        <f>Data!AH5/U$2*100000</f>
        <v>3237.0093702902823</v>
      </c>
      <c r="V7" s="205">
        <f>Data!D5/V$2*100000</f>
        <v>696.52269323104611</v>
      </c>
      <c r="W7" s="182"/>
    </row>
    <row r="8" spans="1:23" ht="12" customHeight="1">
      <c r="A8" s="182"/>
      <c r="B8" s="201" t="str">
        <f>UPPER(LEFT(TRIM(Data!B6),1)) &amp; MID(TRIM(Data!B6),2,50)</f>
        <v>Lūpos</v>
      </c>
      <c r="C8" s="202" t="str">
        <f>Data!C6</f>
        <v>C00</v>
      </c>
      <c r="D8" s="206">
        <f>Data!Q6/D$2*100000</f>
        <v>0</v>
      </c>
      <c r="E8" s="206">
        <f>Data!R6/E$2*100000</f>
        <v>0</v>
      </c>
      <c r="F8" s="206">
        <f>Data!S6/F$2*100000</f>
        <v>0</v>
      </c>
      <c r="G8" s="206">
        <f>Data!T6/G$2*100000</f>
        <v>0</v>
      </c>
      <c r="H8" s="206">
        <f>Data!U6/H$2*100000</f>
        <v>0</v>
      </c>
      <c r="I8" s="206">
        <f>Data!V6/I$2*100000</f>
        <v>0</v>
      </c>
      <c r="J8" s="206">
        <f>Data!W6/J$2*100000</f>
        <v>0</v>
      </c>
      <c r="K8" s="206">
        <f>Data!X6/K$2*100000</f>
        <v>0</v>
      </c>
      <c r="L8" s="206">
        <f>Data!Y6/L$2*100000</f>
        <v>0</v>
      </c>
      <c r="M8" s="206">
        <f>Data!Z6/M$2*100000</f>
        <v>0</v>
      </c>
      <c r="N8" s="206">
        <f>Data!AA6/N$2*100000</f>
        <v>0</v>
      </c>
      <c r="O8" s="206">
        <f>Data!AB6/O$2*100000</f>
        <v>0</v>
      </c>
      <c r="P8" s="206">
        <f>Data!AC6/P$2*100000</f>
        <v>0</v>
      </c>
      <c r="Q8" s="206">
        <f>Data!AD6/Q$2*100000</f>
        <v>3.4939990566202548</v>
      </c>
      <c r="R8" s="206">
        <f>Data!AE6/R$2*100000</f>
        <v>4.2267213322625636</v>
      </c>
      <c r="S8" s="206">
        <f>Data!AF6/S$2*100000</f>
        <v>2.5300442757748263</v>
      </c>
      <c r="T8" s="206">
        <f>Data!AG6/T$2*100000</f>
        <v>16.073294221650727</v>
      </c>
      <c r="U8" s="206">
        <f>Data!AH6/U$2*100000</f>
        <v>13.105301094292642</v>
      </c>
      <c r="V8" s="206">
        <f>Data!D6/V$2*100000</f>
        <v>0.82216435513912511</v>
      </c>
      <c r="W8" s="182"/>
    </row>
    <row r="9" spans="1:23" ht="12" customHeight="1">
      <c r="A9" s="182"/>
      <c r="B9" s="187" t="str">
        <f>UPPER(LEFT(TRIM(Data!B7),1)) &amp; MID(TRIM(Data!B7),2,50)</f>
        <v>Burnos ertmės ir ryklės</v>
      </c>
      <c r="C9" s="188" t="str">
        <f>Data!C7</f>
        <v>C01-C14</v>
      </c>
      <c r="D9" s="205">
        <f>Data!Q7/D$2*100000</f>
        <v>0</v>
      </c>
      <c r="E9" s="205">
        <f>Data!R7/E$2*100000</f>
        <v>0</v>
      </c>
      <c r="F9" s="205">
        <f>Data!S7/F$2*100000</f>
        <v>0</v>
      </c>
      <c r="G9" s="205">
        <f>Data!T7/G$2*100000</f>
        <v>0</v>
      </c>
      <c r="H9" s="205">
        <f>Data!U7/H$2*100000</f>
        <v>0.96660383741723443</v>
      </c>
      <c r="I9" s="205">
        <f>Data!V7/I$2*100000</f>
        <v>0.99531208010271621</v>
      </c>
      <c r="J9" s="205">
        <f>Data!W7/J$2*100000</f>
        <v>1.1070641765103124</v>
      </c>
      <c r="K9" s="205">
        <f>Data!X7/K$2*100000</f>
        <v>1.1473284457141546</v>
      </c>
      <c r="L9" s="205">
        <f>Data!Y7/L$2*100000</f>
        <v>15.728051504125993</v>
      </c>
      <c r="M9" s="205">
        <f>Data!Z7/M$2*100000</f>
        <v>23.234904888421944</v>
      </c>
      <c r="N9" s="205">
        <f>Data!AA7/N$2*100000</f>
        <v>36.884315654081867</v>
      </c>
      <c r="O9" s="205">
        <f>Data!AB7/O$2*100000</f>
        <v>65.379147165346978</v>
      </c>
      <c r="P9" s="205">
        <f>Data!AC7/P$2*100000</f>
        <v>76.86395080707149</v>
      </c>
      <c r="Q9" s="205">
        <f>Data!AD7/Q$2*100000</f>
        <v>83.855977358886122</v>
      </c>
      <c r="R9" s="205">
        <f>Data!AE7/R$2*100000</f>
        <v>50.720655987150771</v>
      </c>
      <c r="S9" s="205">
        <f>Data!AF7/S$2*100000</f>
        <v>35.420619860847566</v>
      </c>
      <c r="T9" s="205">
        <f>Data!AG7/T$2*100000</f>
        <v>8.0366471108253634</v>
      </c>
      <c r="U9" s="205">
        <f>Data!AH7/U$2*100000</f>
        <v>26.210602188585284</v>
      </c>
      <c r="V9" s="205">
        <f>Data!D7/V$2*100000</f>
        <v>21.824726518238595</v>
      </c>
      <c r="W9" s="182"/>
    </row>
    <row r="10" spans="1:23" ht="12" customHeight="1">
      <c r="A10" s="182"/>
      <c r="B10" s="201" t="str">
        <f>UPPER(LEFT(TRIM(Data!B8),1)) &amp; MID(TRIM(Data!B8),2,50)</f>
        <v>Stemplės</v>
      </c>
      <c r="C10" s="202" t="str">
        <f>Data!C8</f>
        <v>C15</v>
      </c>
      <c r="D10" s="206">
        <f>Data!Q8/D$2*100000</f>
        <v>0</v>
      </c>
      <c r="E10" s="206">
        <f>Data!R8/E$2*100000</f>
        <v>0</v>
      </c>
      <c r="F10" s="206">
        <f>Data!S8/F$2*100000</f>
        <v>0</v>
      </c>
      <c r="G10" s="206">
        <f>Data!T8/G$2*100000</f>
        <v>0</v>
      </c>
      <c r="H10" s="206">
        <f>Data!U8/H$2*100000</f>
        <v>0</v>
      </c>
      <c r="I10" s="206">
        <f>Data!V8/I$2*100000</f>
        <v>0</v>
      </c>
      <c r="J10" s="206">
        <f>Data!W8/J$2*100000</f>
        <v>0</v>
      </c>
      <c r="K10" s="206">
        <f>Data!X8/K$2*100000</f>
        <v>0</v>
      </c>
      <c r="L10" s="206">
        <f>Data!Y8/L$2*100000</f>
        <v>6.2912206016503971</v>
      </c>
      <c r="M10" s="206">
        <f>Data!Z8/M$2*100000</f>
        <v>6.0612795361100726</v>
      </c>
      <c r="N10" s="206">
        <f>Data!AA8/N$2*100000</f>
        <v>13.24052356813195</v>
      </c>
      <c r="O10" s="206">
        <f>Data!AB8/O$2*100000</f>
        <v>23.868577536555247</v>
      </c>
      <c r="P10" s="206">
        <f>Data!AC8/P$2*100000</f>
        <v>50.785110354672234</v>
      </c>
      <c r="Q10" s="206">
        <f>Data!AD8/Q$2*100000</f>
        <v>66.385982075784838</v>
      </c>
      <c r="R10" s="206">
        <f>Data!AE8/R$2*100000</f>
        <v>57.060737985544613</v>
      </c>
      <c r="S10" s="206">
        <f>Data!AF8/S$2*100000</f>
        <v>30.360531309297915</v>
      </c>
      <c r="T10" s="206">
        <f>Data!AG8/T$2*100000</f>
        <v>52.238206220364866</v>
      </c>
      <c r="U10" s="206">
        <f>Data!AH8/U$2*100000</f>
        <v>26.210602188585284</v>
      </c>
      <c r="V10" s="206">
        <f>Data!D8/V$2*100000</f>
        <v>13.453598538640231</v>
      </c>
      <c r="W10" s="182"/>
    </row>
    <row r="11" spans="1:23" ht="12" customHeight="1">
      <c r="A11" s="182"/>
      <c r="B11" s="187" t="str">
        <f>UPPER(LEFT(TRIM(Data!B9),1)) &amp; MID(TRIM(Data!B9),2,50)</f>
        <v>Skrandžio</v>
      </c>
      <c r="C11" s="188" t="str">
        <f>Data!C9</f>
        <v>C16</v>
      </c>
      <c r="D11" s="205">
        <f>Data!Q9/D$2*100000</f>
        <v>0</v>
      </c>
      <c r="E11" s="205">
        <f>Data!R9/E$2*100000</f>
        <v>0</v>
      </c>
      <c r="F11" s="205">
        <f>Data!S9/F$2*100000</f>
        <v>0</v>
      </c>
      <c r="G11" s="205">
        <f>Data!T9/G$2*100000</f>
        <v>0</v>
      </c>
      <c r="H11" s="205">
        <f>Data!U9/H$2*100000</f>
        <v>0</v>
      </c>
      <c r="I11" s="205">
        <f>Data!V9/I$2*100000</f>
        <v>0.99531208010271621</v>
      </c>
      <c r="J11" s="205">
        <f>Data!W9/J$2*100000</f>
        <v>0</v>
      </c>
      <c r="K11" s="205">
        <f>Data!X9/K$2*100000</f>
        <v>4.5893137828566184</v>
      </c>
      <c r="L11" s="205">
        <f>Data!Y9/L$2*100000</f>
        <v>12.582441203300794</v>
      </c>
      <c r="M11" s="205">
        <f>Data!Z9/M$2*100000</f>
        <v>17.173625352311873</v>
      </c>
      <c r="N11" s="205">
        <f>Data!AA9/N$2*100000</f>
        <v>34.992812287205872</v>
      </c>
      <c r="O11" s="205">
        <f>Data!AB9/O$2*100000</f>
        <v>46.699390832390698</v>
      </c>
      <c r="P11" s="205">
        <f>Data!AC9/P$2*100000</f>
        <v>82.354233007576596</v>
      </c>
      <c r="Q11" s="205">
        <f>Data!AD9/Q$2*100000</f>
        <v>106.56697122691777</v>
      </c>
      <c r="R11" s="205">
        <f>Data!AE9/R$2*100000</f>
        <v>154.2753286275836</v>
      </c>
      <c r="S11" s="205">
        <f>Data!AF9/S$2*100000</f>
        <v>235.29411764705881</v>
      </c>
      <c r="T11" s="205">
        <f>Data!AG9/T$2*100000</f>
        <v>196.8978542152214</v>
      </c>
      <c r="U11" s="205">
        <f>Data!AH9/U$2*100000</f>
        <v>255.55337133870651</v>
      </c>
      <c r="V11" s="205">
        <f>Data!D9/V$2*100000</f>
        <v>36.698427124846404</v>
      </c>
      <c r="W11" s="182"/>
    </row>
    <row r="12" spans="1:23" ht="12" customHeight="1">
      <c r="A12" s="182"/>
      <c r="B12" s="201" t="str">
        <f>UPPER(LEFT(TRIM(Data!B10),1)) &amp; MID(TRIM(Data!B10),2,50)</f>
        <v>Gaubtinės žarnos</v>
      </c>
      <c r="C12" s="202" t="str">
        <f>Data!C10</f>
        <v>C18</v>
      </c>
      <c r="D12" s="206">
        <f>Data!Q10/D$2*100000</f>
        <v>0</v>
      </c>
      <c r="E12" s="206">
        <f>Data!R10/E$2*100000</f>
        <v>0</v>
      </c>
      <c r="F12" s="206">
        <f>Data!S10/F$2*100000</f>
        <v>0</v>
      </c>
      <c r="G12" s="206">
        <f>Data!T10/G$2*100000</f>
        <v>0</v>
      </c>
      <c r="H12" s="206">
        <f>Data!U10/H$2*100000</f>
        <v>1.9332076748344689</v>
      </c>
      <c r="I12" s="206">
        <f>Data!V10/I$2*100000</f>
        <v>0.99531208010271621</v>
      </c>
      <c r="J12" s="206">
        <f>Data!W10/J$2*100000</f>
        <v>3.3211925295309372</v>
      </c>
      <c r="K12" s="206">
        <f>Data!X10/K$2*100000</f>
        <v>5.7366422285707728</v>
      </c>
      <c r="L12" s="206">
        <f>Data!Y10/L$2*100000</f>
        <v>4.1941470677669317</v>
      </c>
      <c r="M12" s="206">
        <f>Data!Z10/M$2*100000</f>
        <v>6.0612795361100726</v>
      </c>
      <c r="N12" s="206">
        <f>Data!AA10/N$2*100000</f>
        <v>15.132026935007945</v>
      </c>
      <c r="O12" s="206">
        <f>Data!AB10/O$2*100000</f>
        <v>37.359512665912554</v>
      </c>
      <c r="P12" s="206">
        <f>Data!AC10/P$2*100000</f>
        <v>63.138245305808717</v>
      </c>
      <c r="Q12" s="206">
        <f>Data!AD10/Q$2*100000</f>
        <v>134.51896367987982</v>
      </c>
      <c r="R12" s="206">
        <f>Data!AE10/R$2*100000</f>
        <v>171.18221395663383</v>
      </c>
      <c r="S12" s="206">
        <f>Data!AF10/S$2*100000</f>
        <v>166.98292220113854</v>
      </c>
      <c r="T12" s="206">
        <f>Data!AG10/T$2*100000</f>
        <v>196.8978542152214</v>
      </c>
      <c r="U12" s="206">
        <f>Data!AH10/U$2*100000</f>
        <v>190.02686586724332</v>
      </c>
      <c r="V12" s="206">
        <f>Data!D10/V$2*100000</f>
        <v>31.466472137597428</v>
      </c>
      <c r="W12" s="182"/>
    </row>
    <row r="13" spans="1:23" ht="12" customHeight="1">
      <c r="A13" s="182"/>
      <c r="B13" s="187" t="str">
        <f>UPPER(LEFT(TRIM(Data!B11),1)) &amp; MID(TRIM(Data!B11),2,50)</f>
        <v>Tiesiosios žarnos, išangės</v>
      </c>
      <c r="C13" s="188" t="str">
        <f>Data!C11</f>
        <v>C19-C21</v>
      </c>
      <c r="D13" s="205">
        <f>Data!Q11/D$2*100000</f>
        <v>0</v>
      </c>
      <c r="E13" s="205">
        <f>Data!R11/E$2*100000</f>
        <v>0</v>
      </c>
      <c r="F13" s="205">
        <f>Data!S11/F$2*100000</f>
        <v>0</v>
      </c>
      <c r="G13" s="205">
        <f>Data!T11/G$2*100000</f>
        <v>0</v>
      </c>
      <c r="H13" s="205">
        <f>Data!U11/H$2*100000</f>
        <v>0</v>
      </c>
      <c r="I13" s="205">
        <f>Data!V11/I$2*100000</f>
        <v>0</v>
      </c>
      <c r="J13" s="205">
        <f>Data!W11/J$2*100000</f>
        <v>0</v>
      </c>
      <c r="K13" s="205">
        <f>Data!X11/K$2*100000</f>
        <v>0</v>
      </c>
      <c r="L13" s="205">
        <f>Data!Y11/L$2*100000</f>
        <v>2.0970735338834658</v>
      </c>
      <c r="M13" s="205">
        <f>Data!Z11/M$2*100000</f>
        <v>11.112345816201801</v>
      </c>
      <c r="N13" s="205">
        <f>Data!AA11/N$2*100000</f>
        <v>12.294771884693953</v>
      </c>
      <c r="O13" s="205">
        <f>Data!AB11/O$2*100000</f>
        <v>36.321748425192766</v>
      </c>
      <c r="P13" s="205">
        <f>Data!AC11/P$2*100000</f>
        <v>60.393104205556163</v>
      </c>
      <c r="Q13" s="205">
        <f>Data!AD11/Q$2*100000</f>
        <v>92.590975000436742</v>
      </c>
      <c r="R13" s="205">
        <f>Data!AE11/R$2*100000</f>
        <v>143.70852529692718</v>
      </c>
      <c r="S13" s="205">
        <f>Data!AF11/S$2*100000</f>
        <v>126.5022137887413</v>
      </c>
      <c r="T13" s="205">
        <f>Data!AG11/T$2*100000</f>
        <v>176.80623643815801</v>
      </c>
      <c r="U13" s="205">
        <f>Data!AH11/U$2*100000</f>
        <v>150.71096258436538</v>
      </c>
      <c r="V13" s="205">
        <f>Data!D11/V$2*100000</f>
        <v>25.636579437519995</v>
      </c>
      <c r="W13" s="182"/>
    </row>
    <row r="14" spans="1:23" ht="12" customHeight="1">
      <c r="A14" s="182"/>
      <c r="B14" s="201" t="str">
        <f>UPPER(LEFT(TRIM(Data!B12),1)) &amp; MID(TRIM(Data!B12),2,50)</f>
        <v>Kepenų</v>
      </c>
      <c r="C14" s="202" t="str">
        <f>Data!C12</f>
        <v>C22</v>
      </c>
      <c r="D14" s="206">
        <f>Data!Q12/D$2*100000</f>
        <v>1.2918060740721602</v>
      </c>
      <c r="E14" s="206">
        <f>Data!R12/E$2*100000</f>
        <v>0</v>
      </c>
      <c r="F14" s="206">
        <f>Data!S12/F$2*100000</f>
        <v>0</v>
      </c>
      <c r="G14" s="206">
        <f>Data!T12/G$2*100000</f>
        <v>0</v>
      </c>
      <c r="H14" s="206">
        <f>Data!U12/H$2*100000</f>
        <v>0</v>
      </c>
      <c r="I14" s="206">
        <f>Data!V12/I$2*100000</f>
        <v>0</v>
      </c>
      <c r="J14" s="206">
        <f>Data!W12/J$2*100000</f>
        <v>1.1070641765103124</v>
      </c>
      <c r="K14" s="206">
        <f>Data!X12/K$2*100000</f>
        <v>0</v>
      </c>
      <c r="L14" s="206">
        <f>Data!Y12/L$2*100000</f>
        <v>4.1941470677669317</v>
      </c>
      <c r="M14" s="206">
        <f>Data!Z12/M$2*100000</f>
        <v>7.0714927921284181</v>
      </c>
      <c r="N14" s="206">
        <f>Data!AA12/N$2*100000</f>
        <v>14.186275251569947</v>
      </c>
      <c r="O14" s="206">
        <f>Data!AB12/O$2*100000</f>
        <v>18.679756332956277</v>
      </c>
      <c r="P14" s="206">
        <f>Data!AC12/P$2*100000</f>
        <v>27.451411002525528</v>
      </c>
      <c r="Q14" s="206">
        <f>Data!AD12/Q$2*100000</f>
        <v>50.662986320993689</v>
      </c>
      <c r="R14" s="206">
        <f>Data!AE12/R$2*100000</f>
        <v>21.133606661312818</v>
      </c>
      <c r="S14" s="206">
        <f>Data!AF12/S$2*100000</f>
        <v>55.660974067046169</v>
      </c>
      <c r="T14" s="206">
        <f>Data!AG12/T$2*100000</f>
        <v>28.128264887888772</v>
      </c>
      <c r="U14" s="206">
        <f>Data!AH12/U$2*100000</f>
        <v>52.421204377170568</v>
      </c>
      <c r="V14" s="206">
        <f>Data!D12/V$2*100000</f>
        <v>10.613394402705071</v>
      </c>
      <c r="W14" s="182"/>
    </row>
    <row r="15" spans="1:23" ht="12" customHeight="1">
      <c r="A15" s="182"/>
      <c r="B15" s="187" t="str">
        <f>UPPER(LEFT(TRIM(Data!B13),1)) &amp; MID(TRIM(Data!B13),2,50)</f>
        <v>Tulžies pūslės, ekstrahepatinių takų</v>
      </c>
      <c r="C15" s="188" t="str">
        <f>Data!C13</f>
        <v>C23, C24</v>
      </c>
      <c r="D15" s="205">
        <f>Data!Q13/D$2*100000</f>
        <v>0</v>
      </c>
      <c r="E15" s="205">
        <f>Data!R13/E$2*100000</f>
        <v>0</v>
      </c>
      <c r="F15" s="205">
        <f>Data!S13/F$2*100000</f>
        <v>0</v>
      </c>
      <c r="G15" s="205">
        <f>Data!T13/G$2*100000</f>
        <v>0</v>
      </c>
      <c r="H15" s="205">
        <f>Data!U13/H$2*100000</f>
        <v>0</v>
      </c>
      <c r="I15" s="205">
        <f>Data!V13/I$2*100000</f>
        <v>0</v>
      </c>
      <c r="J15" s="205">
        <f>Data!W13/J$2*100000</f>
        <v>0</v>
      </c>
      <c r="K15" s="205">
        <f>Data!X13/K$2*100000</f>
        <v>0</v>
      </c>
      <c r="L15" s="205">
        <f>Data!Y13/L$2*100000</f>
        <v>1.0485367669417329</v>
      </c>
      <c r="M15" s="205">
        <f>Data!Z13/M$2*100000</f>
        <v>1.0102132560183454</v>
      </c>
      <c r="N15" s="205">
        <f>Data!AA13/N$2*100000</f>
        <v>2.8372550503139893</v>
      </c>
      <c r="O15" s="205">
        <f>Data!AB13/O$2*100000</f>
        <v>2.0755284814395867</v>
      </c>
      <c r="P15" s="205">
        <f>Data!AC13/P$2*100000</f>
        <v>4.1177116503788298</v>
      </c>
      <c r="Q15" s="205">
        <f>Data!AD13/Q$2*100000</f>
        <v>8.7349976415506365</v>
      </c>
      <c r="R15" s="205">
        <f>Data!AE13/R$2*100000</f>
        <v>8.4534426645251273</v>
      </c>
      <c r="S15" s="205">
        <f>Data!AF13/S$2*100000</f>
        <v>20.24035420619861</v>
      </c>
      <c r="T15" s="205">
        <f>Data!AG13/T$2*100000</f>
        <v>24.10994133247609</v>
      </c>
      <c r="U15" s="205">
        <f>Data!AH13/U$2*100000</f>
        <v>26.210602188585284</v>
      </c>
      <c r="V15" s="205">
        <f>Data!D13/V$2*100000</f>
        <v>2.7654619218316028</v>
      </c>
      <c r="W15" s="182"/>
    </row>
    <row r="16" spans="1:23" ht="12" customHeight="1">
      <c r="A16" s="182"/>
      <c r="B16" s="201" t="str">
        <f>UPPER(LEFT(TRIM(Data!B14),1)) &amp; MID(TRIM(Data!B14),2,50)</f>
        <v>Kasos</v>
      </c>
      <c r="C16" s="202" t="str">
        <f>Data!C14</f>
        <v>C25</v>
      </c>
      <c r="D16" s="206">
        <f>Data!Q14/D$2*100000</f>
        <v>0</v>
      </c>
      <c r="E16" s="206">
        <f>Data!R14/E$2*100000</f>
        <v>0</v>
      </c>
      <c r="F16" s="206">
        <f>Data!S14/F$2*100000</f>
        <v>0</v>
      </c>
      <c r="G16" s="206">
        <f>Data!T14/G$2*100000</f>
        <v>0</v>
      </c>
      <c r="H16" s="206">
        <f>Data!U14/H$2*100000</f>
        <v>0</v>
      </c>
      <c r="I16" s="206">
        <f>Data!V14/I$2*100000</f>
        <v>0</v>
      </c>
      <c r="J16" s="206">
        <f>Data!W14/J$2*100000</f>
        <v>1.1070641765103124</v>
      </c>
      <c r="K16" s="206">
        <f>Data!X14/K$2*100000</f>
        <v>2.2946568914283092</v>
      </c>
      <c r="L16" s="206">
        <f>Data!Y14/L$2*100000</f>
        <v>6.2912206016503971</v>
      </c>
      <c r="M16" s="206">
        <f>Data!Z14/M$2*100000</f>
        <v>15.153198840275181</v>
      </c>
      <c r="N16" s="206">
        <f>Data!AA14/N$2*100000</f>
        <v>17.969281985321935</v>
      </c>
      <c r="O16" s="206">
        <f>Data!AB14/O$2*100000</f>
        <v>25.944106017994834</v>
      </c>
      <c r="P16" s="206">
        <f>Data!AC14/P$2*100000</f>
        <v>35.686834303283192</v>
      </c>
      <c r="Q16" s="206">
        <f>Data!AD14/Q$2*100000</f>
        <v>64.638982547474711</v>
      </c>
      <c r="R16" s="206">
        <f>Data!AE14/R$2*100000</f>
        <v>82.421065979120002</v>
      </c>
      <c r="S16" s="206">
        <f>Data!AF14/S$2*100000</f>
        <v>96.141682479443389</v>
      </c>
      <c r="T16" s="206">
        <f>Data!AG14/T$2*100000</f>
        <v>92.421441774491683</v>
      </c>
      <c r="U16" s="206">
        <f>Data!AH14/U$2*100000</f>
        <v>85.184457112902166</v>
      </c>
      <c r="V16" s="206">
        <f>Data!D14/V$2*100000</f>
        <v>18.237100241267868</v>
      </c>
      <c r="W16" s="182"/>
    </row>
    <row r="17" spans="1:23" ht="12" customHeight="1">
      <c r="A17" s="182"/>
      <c r="B17" s="187" t="str">
        <f>UPPER(LEFT(TRIM(Data!B15),1)) &amp; MID(TRIM(Data!B15),2,50)</f>
        <v>Kitų virškinimo sistemos organų</v>
      </c>
      <c r="C17" s="188" t="str">
        <f>Data!C15</f>
        <v>C17, C26, C48</v>
      </c>
      <c r="D17" s="205">
        <f>Data!Q15/D$2*100000</f>
        <v>1.2918060740721602</v>
      </c>
      <c r="E17" s="205">
        <f>Data!R15/E$2*100000</f>
        <v>0</v>
      </c>
      <c r="F17" s="205">
        <f>Data!S15/F$2*100000</f>
        <v>0</v>
      </c>
      <c r="G17" s="205">
        <f>Data!T15/G$2*100000</f>
        <v>0</v>
      </c>
      <c r="H17" s="205">
        <f>Data!U15/H$2*100000</f>
        <v>0</v>
      </c>
      <c r="I17" s="205">
        <f>Data!V15/I$2*100000</f>
        <v>0</v>
      </c>
      <c r="J17" s="205">
        <f>Data!W15/J$2*100000</f>
        <v>0</v>
      </c>
      <c r="K17" s="205">
        <f>Data!X15/K$2*100000</f>
        <v>0</v>
      </c>
      <c r="L17" s="205">
        <f>Data!Y15/L$2*100000</f>
        <v>0</v>
      </c>
      <c r="M17" s="205">
        <f>Data!Z15/M$2*100000</f>
        <v>0</v>
      </c>
      <c r="N17" s="205">
        <f>Data!AA15/N$2*100000</f>
        <v>1.8915033668759931</v>
      </c>
      <c r="O17" s="205">
        <f>Data!AB15/O$2*100000</f>
        <v>3.1132927221593794</v>
      </c>
      <c r="P17" s="205">
        <f>Data!AC15/P$2*100000</f>
        <v>4.1177116503788298</v>
      </c>
      <c r="Q17" s="205">
        <f>Data!AD15/Q$2*100000</f>
        <v>10.481997169860765</v>
      </c>
      <c r="R17" s="205">
        <f>Data!AE15/R$2*100000</f>
        <v>2.1133606661312818</v>
      </c>
      <c r="S17" s="205">
        <f>Data!AF15/S$2*100000</f>
        <v>12.65022137887413</v>
      </c>
      <c r="T17" s="205">
        <f>Data!AG15/T$2*100000</f>
        <v>16.073294221650727</v>
      </c>
      <c r="U17" s="205">
        <f>Data!AH15/U$2*100000</f>
        <v>32.763252735731605</v>
      </c>
      <c r="V17" s="205">
        <f>Data!D15/V$2*100000</f>
        <v>2.2422664231067051</v>
      </c>
      <c r="W17" s="182"/>
    </row>
    <row r="18" spans="1:23" ht="12" customHeight="1">
      <c r="A18" s="182"/>
      <c r="B18" s="201" t="str">
        <f>UPPER(LEFT(TRIM(Data!B16),1)) &amp; MID(TRIM(Data!B16),2,50)</f>
        <v>Nosies ertmės, vid.ausies ir ančių</v>
      </c>
      <c r="C18" s="202" t="str">
        <f>Data!C16</f>
        <v>C30, C31</v>
      </c>
      <c r="D18" s="206">
        <f>Data!Q16/D$2*100000</f>
        <v>0</v>
      </c>
      <c r="E18" s="206">
        <f>Data!R16/E$2*100000</f>
        <v>0</v>
      </c>
      <c r="F18" s="206">
        <f>Data!S16/F$2*100000</f>
        <v>0</v>
      </c>
      <c r="G18" s="206">
        <f>Data!T16/G$2*100000</f>
        <v>0</v>
      </c>
      <c r="H18" s="206">
        <f>Data!U16/H$2*100000</f>
        <v>0</v>
      </c>
      <c r="I18" s="206">
        <f>Data!V16/I$2*100000</f>
        <v>0</v>
      </c>
      <c r="J18" s="206">
        <f>Data!W16/J$2*100000</f>
        <v>1.1070641765103124</v>
      </c>
      <c r="K18" s="206">
        <f>Data!X16/K$2*100000</f>
        <v>0</v>
      </c>
      <c r="L18" s="206">
        <f>Data!Y16/L$2*100000</f>
        <v>0</v>
      </c>
      <c r="M18" s="206">
        <f>Data!Z16/M$2*100000</f>
        <v>1.0102132560183454</v>
      </c>
      <c r="N18" s="206">
        <f>Data!AA16/N$2*100000</f>
        <v>0</v>
      </c>
      <c r="O18" s="206">
        <f>Data!AB16/O$2*100000</f>
        <v>2.0755284814395867</v>
      </c>
      <c r="P18" s="206">
        <f>Data!AC16/P$2*100000</f>
        <v>2.7451411002525532</v>
      </c>
      <c r="Q18" s="206">
        <f>Data!AD16/Q$2*100000</f>
        <v>0</v>
      </c>
      <c r="R18" s="206">
        <f>Data!AE16/R$2*100000</f>
        <v>2.1133606661312818</v>
      </c>
      <c r="S18" s="206">
        <f>Data!AF16/S$2*100000</f>
        <v>0</v>
      </c>
      <c r="T18" s="206">
        <f>Data!AG16/T$2*100000</f>
        <v>0</v>
      </c>
      <c r="U18" s="206">
        <f>Data!AH16/U$2*100000</f>
        <v>0</v>
      </c>
      <c r="V18" s="206">
        <f>Data!D16/V$2*100000</f>
        <v>0.52319549872489779</v>
      </c>
      <c r="W18" s="182"/>
    </row>
    <row r="19" spans="1:23" ht="12" customHeight="1">
      <c r="A19" s="182"/>
      <c r="B19" s="187" t="str">
        <f>UPPER(LEFT(TRIM(Data!B17),1)) &amp; MID(TRIM(Data!B17),2,50)</f>
        <v>Gerklų</v>
      </c>
      <c r="C19" s="188" t="str">
        <f>Data!C17</f>
        <v>C32</v>
      </c>
      <c r="D19" s="205">
        <f>Data!Q17/D$2*100000</f>
        <v>0</v>
      </c>
      <c r="E19" s="205">
        <f>Data!R17/E$2*100000</f>
        <v>0</v>
      </c>
      <c r="F19" s="205">
        <f>Data!S17/F$2*100000</f>
        <v>0</v>
      </c>
      <c r="G19" s="205">
        <f>Data!T17/G$2*100000</f>
        <v>0</v>
      </c>
      <c r="H19" s="205">
        <f>Data!U17/H$2*100000</f>
        <v>0</v>
      </c>
      <c r="I19" s="205">
        <f>Data!V17/I$2*100000</f>
        <v>0</v>
      </c>
      <c r="J19" s="205">
        <f>Data!W17/J$2*100000</f>
        <v>0</v>
      </c>
      <c r="K19" s="205">
        <f>Data!X17/K$2*100000</f>
        <v>0</v>
      </c>
      <c r="L19" s="205">
        <f>Data!Y17/L$2*100000</f>
        <v>6.2912206016503971</v>
      </c>
      <c r="M19" s="205">
        <f>Data!Z17/M$2*100000</f>
        <v>5.0510662800917272</v>
      </c>
      <c r="N19" s="205">
        <f>Data!AA17/N$2*100000</f>
        <v>23.643792085949912</v>
      </c>
      <c r="O19" s="205">
        <f>Data!AB17/O$2*100000</f>
        <v>26.981870258714626</v>
      </c>
      <c r="P19" s="205">
        <f>Data!AC17/P$2*100000</f>
        <v>39.804545953662014</v>
      </c>
      <c r="Q19" s="205">
        <f>Data!AD17/Q$2*100000</f>
        <v>43.674988207753181</v>
      </c>
      <c r="R19" s="205">
        <f>Data!AE17/R$2*100000</f>
        <v>52.834016653282049</v>
      </c>
      <c r="S19" s="205">
        <f>Data!AF17/S$2*100000</f>
        <v>17.710309930423783</v>
      </c>
      <c r="T19" s="205">
        <f>Data!AG17/T$2*100000</f>
        <v>36.164911998714139</v>
      </c>
      <c r="U19" s="205">
        <f>Data!AH17/U$2*100000</f>
        <v>39.315903282877926</v>
      </c>
      <c r="V19" s="205">
        <f>Data!D17/V$2*100000</f>
        <v>12.182980898879764</v>
      </c>
      <c r="W19" s="182"/>
    </row>
    <row r="20" spans="1:23" ht="12" customHeight="1">
      <c r="A20" s="182"/>
      <c r="B20" s="201" t="str">
        <f>UPPER(LEFT(TRIM(Data!B18),1)) &amp; MID(TRIM(Data!B18),2,50)</f>
        <v>Plaučių, trachėjos, bronchų</v>
      </c>
      <c r="C20" s="202" t="str">
        <f>Data!C18</f>
        <v>C33, C34</v>
      </c>
      <c r="D20" s="206">
        <f>Data!Q18/D$2*100000</f>
        <v>1.2918060740721602</v>
      </c>
      <c r="E20" s="206">
        <f>Data!R18/E$2*100000</f>
        <v>0</v>
      </c>
      <c r="F20" s="206">
        <f>Data!S18/F$2*100000</f>
        <v>0</v>
      </c>
      <c r="G20" s="206">
        <f>Data!T18/G$2*100000</f>
        <v>0</v>
      </c>
      <c r="H20" s="206">
        <f>Data!U18/H$2*100000</f>
        <v>0</v>
      </c>
      <c r="I20" s="206">
        <f>Data!V18/I$2*100000</f>
        <v>0</v>
      </c>
      <c r="J20" s="206">
        <f>Data!W18/J$2*100000</f>
        <v>0</v>
      </c>
      <c r="K20" s="206">
        <f>Data!X18/K$2*100000</f>
        <v>5.7366422285707728</v>
      </c>
      <c r="L20" s="206">
        <f>Data!Y18/L$2*100000</f>
        <v>14.679514737184258</v>
      </c>
      <c r="M20" s="206">
        <f>Data!Z18/M$2*100000</f>
        <v>19.194051864348566</v>
      </c>
      <c r="N20" s="206">
        <f>Data!AA18/N$2*100000</f>
        <v>79.443141408791718</v>
      </c>
      <c r="O20" s="206">
        <f>Data!AB18/O$2*100000</f>
        <v>155.66463610796899</v>
      </c>
      <c r="P20" s="206">
        <f>Data!AC18/P$2*100000</f>
        <v>258.04326342373997</v>
      </c>
      <c r="Q20" s="206">
        <f>Data!AD18/Q$2*100000</f>
        <v>358.1349033035761</v>
      </c>
      <c r="R20" s="206">
        <f>Data!AE18/R$2*100000</f>
        <v>418.44541189399382</v>
      </c>
      <c r="S20" s="206">
        <f>Data!AF18/S$2*100000</f>
        <v>412.39721695129663</v>
      </c>
      <c r="T20" s="206">
        <f>Data!AG18/T$2*100000</f>
        <v>417.90564976291893</v>
      </c>
      <c r="U20" s="206">
        <f>Data!AH18/U$2*100000</f>
        <v>393.15903282877923</v>
      </c>
      <c r="V20" s="206">
        <f>Data!D18/V$2*100000</f>
        <v>89.017976997336191</v>
      </c>
      <c r="W20" s="182"/>
    </row>
    <row r="21" spans="1:23" ht="12" customHeight="1">
      <c r="A21" s="182"/>
      <c r="B21" s="187" t="str">
        <f>UPPER(LEFT(TRIM(Data!B19),1)) &amp; MID(TRIM(Data!B19),2,50)</f>
        <v>Kitų kvėpavimo sistemos organų</v>
      </c>
      <c r="C21" s="188" t="str">
        <f>Data!C19</f>
        <v>C37-C39</v>
      </c>
      <c r="D21" s="205">
        <f>Data!Q19/D$2*100000</f>
        <v>1.2918060740721602</v>
      </c>
      <c r="E21" s="205">
        <f>Data!R19/E$2*100000</f>
        <v>0</v>
      </c>
      <c r="F21" s="205">
        <f>Data!S19/F$2*100000</f>
        <v>0</v>
      </c>
      <c r="G21" s="205">
        <f>Data!T19/G$2*100000</f>
        <v>0</v>
      </c>
      <c r="H21" s="205">
        <f>Data!U19/H$2*100000</f>
        <v>0</v>
      </c>
      <c r="I21" s="205">
        <f>Data!V19/I$2*100000</f>
        <v>0</v>
      </c>
      <c r="J21" s="205">
        <f>Data!W19/J$2*100000</f>
        <v>0</v>
      </c>
      <c r="K21" s="205">
        <f>Data!X19/K$2*100000</f>
        <v>0</v>
      </c>
      <c r="L21" s="205">
        <f>Data!Y19/L$2*100000</f>
        <v>0</v>
      </c>
      <c r="M21" s="205">
        <f>Data!Z19/M$2*100000</f>
        <v>0</v>
      </c>
      <c r="N21" s="205">
        <f>Data!AA19/N$2*100000</f>
        <v>0</v>
      </c>
      <c r="O21" s="205">
        <f>Data!AB19/O$2*100000</f>
        <v>0</v>
      </c>
      <c r="P21" s="205">
        <f>Data!AC19/P$2*100000</f>
        <v>0</v>
      </c>
      <c r="Q21" s="205">
        <f>Data!AD19/Q$2*100000</f>
        <v>10.481997169860765</v>
      </c>
      <c r="R21" s="205">
        <f>Data!AE19/R$2*100000</f>
        <v>2.1133606661312818</v>
      </c>
      <c r="S21" s="205">
        <f>Data!AF19/S$2*100000</f>
        <v>5.0600885515496525</v>
      </c>
      <c r="T21" s="205">
        <f>Data!AG19/T$2*100000</f>
        <v>8.0366471108253634</v>
      </c>
      <c r="U21" s="205">
        <f>Data!AH19/U$2*100000</f>
        <v>0</v>
      </c>
      <c r="V21" s="205">
        <f>Data!D19/V$2*100000</f>
        <v>0.89690656924268197</v>
      </c>
      <c r="W21" s="182"/>
    </row>
    <row r="22" spans="1:23" ht="12" customHeight="1">
      <c r="A22" s="182"/>
      <c r="B22" s="201" t="str">
        <f>UPPER(LEFT(TRIM(Data!B20),1)) &amp; MID(TRIM(Data!B20),2,50)</f>
        <v>Kaulų ir jungiamojo audinio</v>
      </c>
      <c r="C22" s="202" t="str">
        <f>Data!C20</f>
        <v>C40-C41, C45-C47, C49</v>
      </c>
      <c r="D22" s="206">
        <f>Data!Q20/D$2*100000</f>
        <v>2.5836121481443204</v>
      </c>
      <c r="E22" s="206">
        <f>Data!R20/E$2*100000</f>
        <v>1.4031346027024372</v>
      </c>
      <c r="F22" s="206">
        <f>Data!S20/F$2*100000</f>
        <v>4.3575516369868987</v>
      </c>
      <c r="G22" s="206">
        <f>Data!T20/G$2*100000</f>
        <v>0</v>
      </c>
      <c r="H22" s="206">
        <f>Data!U20/H$2*100000</f>
        <v>0.96660383741723443</v>
      </c>
      <c r="I22" s="206">
        <f>Data!V20/I$2*100000</f>
        <v>0.99531208010271621</v>
      </c>
      <c r="J22" s="206">
        <f>Data!W20/J$2*100000</f>
        <v>2.2141283530206248</v>
      </c>
      <c r="K22" s="206">
        <f>Data!X20/K$2*100000</f>
        <v>4.5893137828566184</v>
      </c>
      <c r="L22" s="206">
        <f>Data!Y20/L$2*100000</f>
        <v>2.0970735338834658</v>
      </c>
      <c r="M22" s="206">
        <f>Data!Z20/M$2*100000</f>
        <v>0</v>
      </c>
      <c r="N22" s="206">
        <f>Data!AA20/N$2*100000</f>
        <v>3.7830067337519862</v>
      </c>
      <c r="O22" s="206">
        <f>Data!AB20/O$2*100000</f>
        <v>7.2643496850385532</v>
      </c>
      <c r="P22" s="206">
        <f>Data!AC20/P$2*100000</f>
        <v>9.6079938508839362</v>
      </c>
      <c r="Q22" s="206">
        <f>Data!AD20/Q$2*100000</f>
        <v>0</v>
      </c>
      <c r="R22" s="206">
        <f>Data!AE20/R$2*100000</f>
        <v>12.680163996787693</v>
      </c>
      <c r="S22" s="206">
        <f>Data!AF20/S$2*100000</f>
        <v>7.5901328273244788</v>
      </c>
      <c r="T22" s="206">
        <f>Data!AG20/T$2*100000</f>
        <v>20.091617777063409</v>
      </c>
      <c r="U22" s="206">
        <f>Data!AH20/U$2*100000</f>
        <v>32.763252735731605</v>
      </c>
      <c r="V22" s="206">
        <f>Data!D20/V$2*100000</f>
        <v>3.9613373474885121</v>
      </c>
      <c r="W22" s="182"/>
    </row>
    <row r="23" spans="1:23" ht="12" customHeight="1">
      <c r="A23" s="182"/>
      <c r="B23" s="187" t="str">
        <f>UPPER(LEFT(TRIM(Data!B21),1)) &amp; MID(TRIM(Data!B21),2,50)</f>
        <v>Odos melanoma</v>
      </c>
      <c r="C23" s="188" t="str">
        <f>Data!C21</f>
        <v>C43</v>
      </c>
      <c r="D23" s="205">
        <f>Data!Q21/D$2*100000</f>
        <v>0</v>
      </c>
      <c r="E23" s="205">
        <f>Data!R21/E$2*100000</f>
        <v>0</v>
      </c>
      <c r="F23" s="205">
        <f>Data!S21/F$2*100000</f>
        <v>0</v>
      </c>
      <c r="G23" s="205">
        <f>Data!T21/G$2*100000</f>
        <v>0</v>
      </c>
      <c r="H23" s="205">
        <f>Data!U21/H$2*100000</f>
        <v>1.9332076748344689</v>
      </c>
      <c r="I23" s="205">
        <f>Data!V21/I$2*100000</f>
        <v>0.99531208010271621</v>
      </c>
      <c r="J23" s="205">
        <f>Data!W21/J$2*100000</f>
        <v>1.1070641765103124</v>
      </c>
      <c r="K23" s="205">
        <f>Data!X21/K$2*100000</f>
        <v>6.8839706742849271</v>
      </c>
      <c r="L23" s="205">
        <f>Data!Y21/L$2*100000</f>
        <v>10.485367669417327</v>
      </c>
      <c r="M23" s="205">
        <f>Data!Z21/M$2*100000</f>
        <v>12.122559072220145</v>
      </c>
      <c r="N23" s="205">
        <f>Data!AA21/N$2*100000</f>
        <v>14.186275251569947</v>
      </c>
      <c r="O23" s="205">
        <f>Data!AB21/O$2*100000</f>
        <v>17.641992092236485</v>
      </c>
      <c r="P23" s="205">
        <f>Data!AC21/P$2*100000</f>
        <v>21.961128802020426</v>
      </c>
      <c r="Q23" s="205">
        <f>Data!AD21/Q$2*100000</f>
        <v>24.457993396341781</v>
      </c>
      <c r="R23" s="205">
        <f>Data!AE21/R$2*100000</f>
        <v>29.587049325837945</v>
      </c>
      <c r="S23" s="205">
        <f>Data!AF21/S$2*100000</f>
        <v>37.950664136622393</v>
      </c>
      <c r="T23" s="205">
        <f>Data!AG21/T$2*100000</f>
        <v>36.164911998714139</v>
      </c>
      <c r="U23" s="205">
        <f>Data!AH21/U$2*100000</f>
        <v>45.868553830024247</v>
      </c>
      <c r="V23" s="205">
        <f>Data!D21/V$2*100000</f>
        <v>10.3891677603944</v>
      </c>
      <c r="W23" s="182"/>
    </row>
    <row r="24" spans="1:23" ht="12" customHeight="1">
      <c r="A24" s="182"/>
      <c r="B24" s="201" t="str">
        <f>UPPER(LEFT(TRIM(Data!B22),1)) &amp; MID(TRIM(Data!B22),2,50)</f>
        <v>Kiti odos piktybiniai navikai</v>
      </c>
      <c r="C24" s="202" t="str">
        <f>Data!C22</f>
        <v>C44</v>
      </c>
      <c r="D24" s="206">
        <f>Data!Q22/D$2*100000</f>
        <v>0</v>
      </c>
      <c r="E24" s="206">
        <f>Data!R22/E$2*100000</f>
        <v>0</v>
      </c>
      <c r="F24" s="206">
        <f>Data!S22/F$2*100000</f>
        <v>0</v>
      </c>
      <c r="G24" s="206">
        <f>Data!T22/G$2*100000</f>
        <v>0</v>
      </c>
      <c r="H24" s="206">
        <f>Data!U22/H$2*100000</f>
        <v>0.96660383741723443</v>
      </c>
      <c r="I24" s="206">
        <f>Data!V22/I$2*100000</f>
        <v>6.9671845607190139</v>
      </c>
      <c r="J24" s="206">
        <f>Data!W22/J$2*100000</f>
        <v>4.4282567060412497</v>
      </c>
      <c r="K24" s="206">
        <f>Data!X22/K$2*100000</f>
        <v>11.473284457141546</v>
      </c>
      <c r="L24" s="206">
        <f>Data!Y22/L$2*100000</f>
        <v>19.922198571892924</v>
      </c>
      <c r="M24" s="206">
        <f>Data!Z22/M$2*100000</f>
        <v>27.27575791249533</v>
      </c>
      <c r="N24" s="206">
        <f>Data!AA22/N$2*100000</f>
        <v>46.341832488461826</v>
      </c>
      <c r="O24" s="206">
        <f>Data!AB22/O$2*100000</f>
        <v>70.567968368945941</v>
      </c>
      <c r="P24" s="206">
        <f>Data!AC22/P$2*100000</f>
        <v>104.31536180959701</v>
      </c>
      <c r="Q24" s="206">
        <f>Data!AD22/Q$2*100000</f>
        <v>218.37494103876591</v>
      </c>
      <c r="R24" s="206">
        <f>Data!AE22/R$2*100000</f>
        <v>255.71664060188513</v>
      </c>
      <c r="S24" s="206">
        <f>Data!AF22/S$2*100000</f>
        <v>333.96584440227707</v>
      </c>
      <c r="T24" s="206">
        <f>Data!AG22/T$2*100000</f>
        <v>413.88732620750625</v>
      </c>
      <c r="U24" s="206">
        <f>Data!AH22/U$2*100000</f>
        <v>530.76469431885198</v>
      </c>
      <c r="V24" s="206">
        <f>Data!D22/V$2*100000</f>
        <v>61.512842207227266</v>
      </c>
      <c r="W24" s="182"/>
    </row>
    <row r="25" spans="1:23" ht="12" customHeight="1">
      <c r="A25" s="182"/>
      <c r="B25" s="187" t="str">
        <f>UPPER(LEFT(TRIM(Data!B23),1)) &amp; MID(TRIM(Data!B23),2,50)</f>
        <v>Krūties</v>
      </c>
      <c r="C25" s="188" t="str">
        <f>Data!C23</f>
        <v>C50</v>
      </c>
      <c r="D25" s="205">
        <f>Data!Q23/D$2*100000</f>
        <v>0</v>
      </c>
      <c r="E25" s="205">
        <f>Data!R23/E$2*100000</f>
        <v>0</v>
      </c>
      <c r="F25" s="205">
        <f>Data!S23/F$2*100000</f>
        <v>0</v>
      </c>
      <c r="G25" s="205">
        <f>Data!T23/G$2*100000</f>
        <v>0</v>
      </c>
      <c r="H25" s="205">
        <f>Data!U23/H$2*100000</f>
        <v>0</v>
      </c>
      <c r="I25" s="205">
        <f>Data!V23/I$2*100000</f>
        <v>0</v>
      </c>
      <c r="J25" s="205">
        <f>Data!W23/J$2*100000</f>
        <v>0</v>
      </c>
      <c r="K25" s="205">
        <f>Data!X23/K$2*100000</f>
        <v>1.1473284457141546</v>
      </c>
      <c r="L25" s="205">
        <f>Data!Y23/L$2*100000</f>
        <v>0</v>
      </c>
      <c r="M25" s="205">
        <f>Data!Z23/M$2*100000</f>
        <v>0</v>
      </c>
      <c r="N25" s="205">
        <f>Data!AA23/N$2*100000</f>
        <v>0.94575168343799654</v>
      </c>
      <c r="O25" s="205">
        <f>Data!AB23/O$2*100000</f>
        <v>0</v>
      </c>
      <c r="P25" s="205">
        <f>Data!AC23/P$2*100000</f>
        <v>0</v>
      </c>
      <c r="Q25" s="205">
        <f>Data!AD23/Q$2*100000</f>
        <v>1.7469995283101274</v>
      </c>
      <c r="R25" s="205">
        <f>Data!AE23/R$2*100000</f>
        <v>2.1133606661312818</v>
      </c>
      <c r="S25" s="205">
        <f>Data!AF23/S$2*100000</f>
        <v>7.5901328273244788</v>
      </c>
      <c r="T25" s="205">
        <f>Data!AG23/T$2*100000</f>
        <v>4.0183235554126817</v>
      </c>
      <c r="U25" s="205">
        <f>Data!AH23/U$2*100000</f>
        <v>0</v>
      </c>
      <c r="V25" s="205">
        <f>Data!D23/V$2*100000</f>
        <v>0.59793771282845465</v>
      </c>
      <c r="W25" s="182"/>
    </row>
    <row r="26" spans="1:23" ht="12" customHeight="1">
      <c r="A26" s="182"/>
      <c r="B26" s="201" t="str">
        <f>UPPER(LEFT(TRIM(Data!B28),1)) &amp; MID(TRIM(Data!B28),2,50)</f>
        <v>Priešinės liaukos</v>
      </c>
      <c r="C26" s="202" t="str">
        <f>Data!C28</f>
        <v>C61</v>
      </c>
      <c r="D26" s="206">
        <f>Data!Q28/D$2*100000</f>
        <v>0</v>
      </c>
      <c r="E26" s="206">
        <f>Data!R28/E$2*100000</f>
        <v>0</v>
      </c>
      <c r="F26" s="206">
        <f>Data!S28/F$2*100000</f>
        <v>0</v>
      </c>
      <c r="G26" s="206">
        <f>Data!T28/G$2*100000</f>
        <v>0</v>
      </c>
      <c r="H26" s="206">
        <f>Data!U28/H$2*100000</f>
        <v>0</v>
      </c>
      <c r="I26" s="206">
        <f>Data!V28/I$2*100000</f>
        <v>0</v>
      </c>
      <c r="J26" s="206">
        <f>Data!W28/J$2*100000</f>
        <v>0</v>
      </c>
      <c r="K26" s="206">
        <f>Data!X28/K$2*100000</f>
        <v>0</v>
      </c>
      <c r="L26" s="206">
        <f>Data!Y28/L$2*100000</f>
        <v>5.2426838347086635</v>
      </c>
      <c r="M26" s="206">
        <f>Data!Z28/M$2*100000</f>
        <v>26.265544656476983</v>
      </c>
      <c r="N26" s="206">
        <f>Data!AA28/N$2*100000</f>
        <v>235.49216917606114</v>
      </c>
      <c r="O26" s="206">
        <f>Data!AB28/O$2*100000</f>
        <v>516.80659187845708</v>
      </c>
      <c r="P26" s="206">
        <f>Data!AC28/P$2*100000</f>
        <v>778.24750192159877</v>
      </c>
      <c r="Q26" s="206">
        <f>Data!AD28/Q$2*100000</f>
        <v>999.2837301933929</v>
      </c>
      <c r="R26" s="206">
        <f>Data!AE28/R$2*100000</f>
        <v>1164.4617270383364</v>
      </c>
      <c r="S26" s="206">
        <f>Data!AF28/S$2*100000</f>
        <v>609.74067046173309</v>
      </c>
      <c r="T26" s="206">
        <f>Data!AG28/T$2*100000</f>
        <v>659.00506308767979</v>
      </c>
      <c r="U26" s="206">
        <f>Data!AH28/U$2*100000</f>
        <v>615.9491514317541</v>
      </c>
      <c r="V26" s="206">
        <f>Data!D28/V$2*100000</f>
        <v>221.7601492452531</v>
      </c>
      <c r="W26" s="182"/>
    </row>
    <row r="27" spans="1:23" ht="12" customHeight="1">
      <c r="A27" s="182"/>
      <c r="B27" s="187" t="str">
        <f>UPPER(LEFT(TRIM(Data!B29),1)) &amp; MID(TRIM(Data!B29),2,50)</f>
        <v>Sėklidžių</v>
      </c>
      <c r="C27" s="188" t="str">
        <f>Data!C29</f>
        <v>C62</v>
      </c>
      <c r="D27" s="205">
        <f>Data!Q29/D$2*100000</f>
        <v>0</v>
      </c>
      <c r="E27" s="205">
        <f>Data!R29/E$2*100000</f>
        <v>0</v>
      </c>
      <c r="F27" s="205">
        <f>Data!S29/F$2*100000</f>
        <v>0</v>
      </c>
      <c r="G27" s="205">
        <f>Data!T29/G$2*100000</f>
        <v>2.3406048122834942</v>
      </c>
      <c r="H27" s="205">
        <f>Data!U29/H$2*100000</f>
        <v>4.8330191870861725</v>
      </c>
      <c r="I27" s="205">
        <f>Data!V29/I$2*100000</f>
        <v>3.9812483204108648</v>
      </c>
      <c r="J27" s="205">
        <f>Data!W29/J$2*100000</f>
        <v>3.3211925295309372</v>
      </c>
      <c r="K27" s="205">
        <f>Data!X29/K$2*100000</f>
        <v>3.4419853371424636</v>
      </c>
      <c r="L27" s="205">
        <f>Data!Y29/L$2*100000</f>
        <v>7.3397573685921289</v>
      </c>
      <c r="M27" s="205">
        <f>Data!Z29/M$2*100000</f>
        <v>1.0102132560183454</v>
      </c>
      <c r="N27" s="205">
        <f>Data!AA29/N$2*100000</f>
        <v>2.8372550503139893</v>
      </c>
      <c r="O27" s="205">
        <f>Data!AB29/O$2*100000</f>
        <v>0</v>
      </c>
      <c r="P27" s="205">
        <f>Data!AC29/P$2*100000</f>
        <v>1.3725705501262766</v>
      </c>
      <c r="Q27" s="205">
        <f>Data!AD29/Q$2*100000</f>
        <v>0</v>
      </c>
      <c r="R27" s="205">
        <f>Data!AE29/R$2*100000</f>
        <v>0</v>
      </c>
      <c r="S27" s="205">
        <f>Data!AF29/S$2*100000</f>
        <v>0</v>
      </c>
      <c r="T27" s="205">
        <f>Data!AG29/T$2*100000</f>
        <v>0</v>
      </c>
      <c r="U27" s="205">
        <f>Data!AH29/U$2*100000</f>
        <v>0</v>
      </c>
      <c r="V27" s="205">
        <f>Data!D29/V$2*100000</f>
        <v>2.1675242090031479</v>
      </c>
      <c r="W27" s="182"/>
    </row>
    <row r="28" spans="1:23" ht="12" customHeight="1">
      <c r="A28" s="182"/>
      <c r="B28" s="201" t="str">
        <f>UPPER(LEFT(TRIM(Data!B30),1)) &amp; MID(TRIM(Data!B30),2,50)</f>
        <v>Kitų lyties organų</v>
      </c>
      <c r="C28" s="202" t="s">
        <v>417</v>
      </c>
      <c r="D28" s="206">
        <f>Data!Q30/D$2*100000</f>
        <v>0</v>
      </c>
      <c r="E28" s="206">
        <f>Data!R30/E$2*100000</f>
        <v>0</v>
      </c>
      <c r="F28" s="206">
        <f>Data!S30/F$2*100000</f>
        <v>0</v>
      </c>
      <c r="G28" s="206">
        <f>Data!T30/G$2*100000</f>
        <v>0</v>
      </c>
      <c r="H28" s="206">
        <f>Data!U30/H$2*100000</f>
        <v>0</v>
      </c>
      <c r="I28" s="206">
        <f>Data!V30/I$2*100000</f>
        <v>0</v>
      </c>
      <c r="J28" s="206">
        <f>Data!W30/J$2*100000</f>
        <v>0</v>
      </c>
      <c r="K28" s="206">
        <f>Data!X30/K$2*100000</f>
        <v>0</v>
      </c>
      <c r="L28" s="206">
        <f>Data!Y30/L$2*100000</f>
        <v>0</v>
      </c>
      <c r="M28" s="206">
        <f>Data!Z30/M$2*100000</f>
        <v>2.0204265120366909</v>
      </c>
      <c r="N28" s="206">
        <f>Data!AA30/N$2*100000</f>
        <v>3.7830067337519862</v>
      </c>
      <c r="O28" s="206">
        <f>Data!AB30/O$2*100000</f>
        <v>4.1510569628791734</v>
      </c>
      <c r="P28" s="206">
        <f>Data!AC30/P$2*100000</f>
        <v>4.1177116503788298</v>
      </c>
      <c r="Q28" s="206">
        <f>Data!AD30/Q$2*100000</f>
        <v>5.2409985849303826</v>
      </c>
      <c r="R28" s="206">
        <f>Data!AE30/R$2*100000</f>
        <v>0</v>
      </c>
      <c r="S28" s="206">
        <f>Data!AF30/S$2*100000</f>
        <v>2.5300442757748263</v>
      </c>
      <c r="T28" s="206">
        <f>Data!AG30/T$2*100000</f>
        <v>12.054970666238045</v>
      </c>
      <c r="U28" s="206">
        <f>Data!AH30/U$2*100000</f>
        <v>19.657951641438963</v>
      </c>
      <c r="V28" s="206">
        <f>Data!D30/V$2*100000</f>
        <v>1.719070924381807</v>
      </c>
      <c r="W28" s="182"/>
    </row>
    <row r="29" spans="1:23" ht="12" customHeight="1">
      <c r="A29" s="182"/>
      <c r="B29" s="187" t="str">
        <f>UPPER(LEFT(TRIM(Data!B31),1)) &amp; MID(TRIM(Data!B31),2,50)</f>
        <v>Inkstų</v>
      </c>
      <c r="C29" s="188" t="str">
        <f>Data!C31</f>
        <v>C64</v>
      </c>
      <c r="D29" s="205">
        <f>Data!Q31/D$2*100000</f>
        <v>3.875418222216481</v>
      </c>
      <c r="E29" s="205">
        <f>Data!R31/E$2*100000</f>
        <v>1.4031346027024372</v>
      </c>
      <c r="F29" s="205">
        <f>Data!S31/F$2*100000</f>
        <v>0</v>
      </c>
      <c r="G29" s="205">
        <f>Data!T31/G$2*100000</f>
        <v>1.1703024061417471</v>
      </c>
      <c r="H29" s="205">
        <f>Data!U31/H$2*100000</f>
        <v>0</v>
      </c>
      <c r="I29" s="205">
        <f>Data!V31/I$2*100000</f>
        <v>0</v>
      </c>
      <c r="J29" s="205">
        <f>Data!W31/J$2*100000</f>
        <v>2.2141283530206248</v>
      </c>
      <c r="K29" s="205">
        <f>Data!X31/K$2*100000</f>
        <v>4.5893137828566184</v>
      </c>
      <c r="L29" s="205">
        <f>Data!Y31/L$2*100000</f>
        <v>5.2426838347086635</v>
      </c>
      <c r="M29" s="205">
        <f>Data!Z31/M$2*100000</f>
        <v>17.173625352311873</v>
      </c>
      <c r="N29" s="205">
        <f>Data!AA31/N$2*100000</f>
        <v>43.504577438147841</v>
      </c>
      <c r="O29" s="205">
        <f>Data!AB31/O$2*100000</f>
        <v>66.416911406066774</v>
      </c>
      <c r="P29" s="205">
        <f>Data!AC31/P$2*100000</f>
        <v>79.609091907324029</v>
      </c>
      <c r="Q29" s="205">
        <f>Data!AD31/Q$2*100000</f>
        <v>136.26596320818993</v>
      </c>
      <c r="R29" s="205">
        <f>Data!AE31/R$2*100000</f>
        <v>124.68827930174564</v>
      </c>
      <c r="S29" s="205">
        <f>Data!AF31/S$2*100000</f>
        <v>129.03225806451613</v>
      </c>
      <c r="T29" s="205">
        <f>Data!AG31/T$2*100000</f>
        <v>108.49473599614241</v>
      </c>
      <c r="U29" s="205">
        <f>Data!AH31/U$2*100000</f>
        <v>131.05301094292642</v>
      </c>
      <c r="V29" s="205">
        <f>Data!D31/V$2*100000</f>
        <v>32.587605349150778</v>
      </c>
      <c r="W29" s="182"/>
    </row>
    <row r="30" spans="1:23" ht="12" customHeight="1">
      <c r="A30" s="182"/>
      <c r="B30" s="201" t="str">
        <f>UPPER(LEFT(TRIM(Data!B32),1)) &amp; MID(TRIM(Data!B32),2,50)</f>
        <v>Šlapimo pūslės</v>
      </c>
      <c r="C30" s="202" t="str">
        <f>Data!C32</f>
        <v>C67</v>
      </c>
      <c r="D30" s="206">
        <f>Data!Q32/D$2*100000</f>
        <v>0</v>
      </c>
      <c r="E30" s="206">
        <f>Data!R32/E$2*100000</f>
        <v>0</v>
      </c>
      <c r="F30" s="206">
        <f>Data!S32/F$2*100000</f>
        <v>0</v>
      </c>
      <c r="G30" s="206">
        <f>Data!T32/G$2*100000</f>
        <v>0</v>
      </c>
      <c r="H30" s="206">
        <f>Data!U32/H$2*100000</f>
        <v>0</v>
      </c>
      <c r="I30" s="206">
        <f>Data!V32/I$2*100000</f>
        <v>0</v>
      </c>
      <c r="J30" s="206">
        <f>Data!W32/J$2*100000</f>
        <v>0</v>
      </c>
      <c r="K30" s="206">
        <f>Data!X32/K$2*100000</f>
        <v>1.1473284457141546</v>
      </c>
      <c r="L30" s="206">
        <f>Data!Y32/L$2*100000</f>
        <v>0</v>
      </c>
      <c r="M30" s="206">
        <f>Data!Z32/M$2*100000</f>
        <v>7.0714927921284181</v>
      </c>
      <c r="N30" s="206">
        <f>Data!AA32/N$2*100000</f>
        <v>10.403268517817962</v>
      </c>
      <c r="O30" s="206">
        <f>Data!AB32/O$2*100000</f>
        <v>25.944106017994834</v>
      </c>
      <c r="P30" s="206">
        <f>Data!AC32/P$2*100000</f>
        <v>42.549687053914568</v>
      </c>
      <c r="Q30" s="206">
        <f>Data!AD32/Q$2*100000</f>
        <v>76.8679792456456</v>
      </c>
      <c r="R30" s="206">
        <f>Data!AE32/R$2*100000</f>
        <v>103.55467264043283</v>
      </c>
      <c r="S30" s="206">
        <f>Data!AF32/S$2*100000</f>
        <v>156.8627450980392</v>
      </c>
      <c r="T30" s="206">
        <f>Data!AG32/T$2*100000</f>
        <v>140.64132443944388</v>
      </c>
      <c r="U30" s="206">
        <f>Data!AH32/U$2*100000</f>
        <v>229.34276915012123</v>
      </c>
      <c r="V30" s="206">
        <f>Data!D32/V$2*100000</f>
        <v>22.422664231067049</v>
      </c>
      <c r="W30" s="182"/>
    </row>
    <row r="31" spans="1:23" ht="12" customHeight="1">
      <c r="A31" s="182"/>
      <c r="B31" s="187" t="str">
        <f>UPPER(LEFT(TRIM(Data!B33),1)) &amp; MID(TRIM(Data!B33),2,50)</f>
        <v>Kitų šlapimą išskiriančių organų</v>
      </c>
      <c r="C31" s="188" t="str">
        <f>Data!C33</f>
        <v>C65, C66, C68</v>
      </c>
      <c r="D31" s="205">
        <f>Data!Q33/D$2*100000</f>
        <v>0</v>
      </c>
      <c r="E31" s="205">
        <f>Data!R33/E$2*100000</f>
        <v>0</v>
      </c>
      <c r="F31" s="205">
        <f>Data!S33/F$2*100000</f>
        <v>0</v>
      </c>
      <c r="G31" s="205">
        <f>Data!T33/G$2*100000</f>
        <v>0</v>
      </c>
      <c r="H31" s="205">
        <f>Data!U33/H$2*100000</f>
        <v>0</v>
      </c>
      <c r="I31" s="205">
        <f>Data!V33/I$2*100000</f>
        <v>0</v>
      </c>
      <c r="J31" s="205">
        <f>Data!W33/J$2*100000</f>
        <v>0</v>
      </c>
      <c r="K31" s="205">
        <f>Data!X33/K$2*100000</f>
        <v>0</v>
      </c>
      <c r="L31" s="205">
        <f>Data!Y33/L$2*100000</f>
        <v>0</v>
      </c>
      <c r="M31" s="205">
        <f>Data!Z33/M$2*100000</f>
        <v>0</v>
      </c>
      <c r="N31" s="205">
        <f>Data!AA33/N$2*100000</f>
        <v>1.8915033668759931</v>
      </c>
      <c r="O31" s="205">
        <f>Data!AB33/O$2*100000</f>
        <v>0</v>
      </c>
      <c r="P31" s="205">
        <f>Data!AC33/P$2*100000</f>
        <v>1.3725705501262766</v>
      </c>
      <c r="Q31" s="205">
        <f>Data!AD33/Q$2*100000</f>
        <v>1.7469995283101274</v>
      </c>
      <c r="R31" s="205">
        <f>Data!AE33/R$2*100000</f>
        <v>12.680163996787693</v>
      </c>
      <c r="S31" s="205">
        <f>Data!AF33/S$2*100000</f>
        <v>17.710309930423783</v>
      </c>
      <c r="T31" s="205">
        <f>Data!AG33/T$2*100000</f>
        <v>4.0183235554126817</v>
      </c>
      <c r="U31" s="205">
        <f>Data!AH33/U$2*100000</f>
        <v>0</v>
      </c>
      <c r="V31" s="205">
        <f>Data!D33/V$2*100000</f>
        <v>1.345359853864023</v>
      </c>
      <c r="W31" s="182"/>
    </row>
    <row r="32" spans="1:23" ht="12" customHeight="1">
      <c r="A32" s="182"/>
      <c r="B32" s="201" t="str">
        <f>UPPER(LEFT(TRIM(Data!B34),1)) &amp; MID(TRIM(Data!B34),2,50)</f>
        <v>Akių</v>
      </c>
      <c r="C32" s="202" t="str">
        <f>Data!C34</f>
        <v>C69</v>
      </c>
      <c r="D32" s="206">
        <f>Data!Q34/D$2*100000</f>
        <v>3.875418222216481</v>
      </c>
      <c r="E32" s="206">
        <f>Data!R34/E$2*100000</f>
        <v>0</v>
      </c>
      <c r="F32" s="206">
        <f>Data!S34/F$2*100000</f>
        <v>0</v>
      </c>
      <c r="G32" s="206">
        <f>Data!T34/G$2*100000</f>
        <v>0</v>
      </c>
      <c r="H32" s="206">
        <f>Data!U34/H$2*100000</f>
        <v>0</v>
      </c>
      <c r="I32" s="206">
        <f>Data!V34/I$2*100000</f>
        <v>0</v>
      </c>
      <c r="J32" s="206">
        <f>Data!W34/J$2*100000</f>
        <v>0</v>
      </c>
      <c r="K32" s="206">
        <f>Data!X34/K$2*100000</f>
        <v>0</v>
      </c>
      <c r="L32" s="206">
        <f>Data!Y34/L$2*100000</f>
        <v>1.0485367669417329</v>
      </c>
      <c r="M32" s="206">
        <f>Data!Z34/M$2*100000</f>
        <v>1.0102132560183454</v>
      </c>
      <c r="N32" s="206">
        <f>Data!AA34/N$2*100000</f>
        <v>0</v>
      </c>
      <c r="O32" s="206">
        <f>Data!AB34/O$2*100000</f>
        <v>0</v>
      </c>
      <c r="P32" s="206">
        <f>Data!AC34/P$2*100000</f>
        <v>4.1177116503788298</v>
      </c>
      <c r="Q32" s="206">
        <f>Data!AD34/Q$2*100000</f>
        <v>3.4939990566202548</v>
      </c>
      <c r="R32" s="206">
        <f>Data!AE34/R$2*100000</f>
        <v>6.3400819983938463</v>
      </c>
      <c r="S32" s="206">
        <f>Data!AF34/S$2*100000</f>
        <v>0</v>
      </c>
      <c r="T32" s="206">
        <f>Data!AG34/T$2*100000</f>
        <v>0</v>
      </c>
      <c r="U32" s="206">
        <f>Data!AH34/U$2*100000</f>
        <v>0</v>
      </c>
      <c r="V32" s="206">
        <f>Data!D34/V$2*100000</f>
        <v>0.97164878334623883</v>
      </c>
      <c r="W32" s="182"/>
    </row>
    <row r="33" spans="1:23" ht="12" customHeight="1">
      <c r="A33" s="182"/>
      <c r="B33" s="187" t="str">
        <f>UPPER(LEFT(TRIM(Data!B35),1)) &amp; MID(TRIM(Data!B35),2,50)</f>
        <v>Smegenų</v>
      </c>
      <c r="C33" s="188" t="str">
        <f>Data!C35</f>
        <v>C70-C72</v>
      </c>
      <c r="D33" s="205">
        <f>Data!Q35/D$2*100000</f>
        <v>3.875418222216481</v>
      </c>
      <c r="E33" s="205">
        <f>Data!R35/E$2*100000</f>
        <v>5.6125384108097487</v>
      </c>
      <c r="F33" s="205">
        <f>Data!S35/F$2*100000</f>
        <v>2.9050344246579325</v>
      </c>
      <c r="G33" s="205">
        <f>Data!T35/G$2*100000</f>
        <v>1.1703024061417471</v>
      </c>
      <c r="H33" s="205">
        <f>Data!U35/H$2*100000</f>
        <v>0</v>
      </c>
      <c r="I33" s="205">
        <f>Data!V35/I$2*100000</f>
        <v>1.9906241602054324</v>
      </c>
      <c r="J33" s="205">
        <f>Data!W35/J$2*100000</f>
        <v>4.4282567060412497</v>
      </c>
      <c r="K33" s="205">
        <f>Data!X35/K$2*100000</f>
        <v>3.4419853371424636</v>
      </c>
      <c r="L33" s="205">
        <f>Data!Y35/L$2*100000</f>
        <v>5.2426838347086635</v>
      </c>
      <c r="M33" s="205">
        <f>Data!Z35/M$2*100000</f>
        <v>12.122559072220145</v>
      </c>
      <c r="N33" s="205">
        <f>Data!AA35/N$2*100000</f>
        <v>11.349020201255957</v>
      </c>
      <c r="O33" s="205">
        <f>Data!AB35/O$2*100000</f>
        <v>17.641992092236485</v>
      </c>
      <c r="P33" s="205">
        <f>Data!AC35/P$2*100000</f>
        <v>24.706269902272975</v>
      </c>
      <c r="Q33" s="205">
        <f>Data!AD35/Q$2*100000</f>
        <v>19.2169948114114</v>
      </c>
      <c r="R33" s="205">
        <f>Data!AE35/R$2*100000</f>
        <v>31.700409991969227</v>
      </c>
      <c r="S33" s="205">
        <f>Data!AF35/S$2*100000</f>
        <v>27.830487033523085</v>
      </c>
      <c r="T33" s="205">
        <f>Data!AG35/T$2*100000</f>
        <v>28.128264887888772</v>
      </c>
      <c r="U33" s="205">
        <f>Data!AH35/U$2*100000</f>
        <v>13.105301094292642</v>
      </c>
      <c r="V33" s="205">
        <f>Data!D35/V$2*100000</f>
        <v>9.6417456193588311</v>
      </c>
      <c r="W33" s="182"/>
    </row>
    <row r="34" spans="1:23" ht="12" customHeight="1">
      <c r="A34" s="182"/>
      <c r="B34" s="201" t="str">
        <f>UPPER(LEFT(TRIM(Data!B36),1)) &amp; MID(TRIM(Data!B36),2,50)</f>
        <v>Skydliaukės</v>
      </c>
      <c r="C34" s="202" t="str">
        <f>Data!C36</f>
        <v>C73</v>
      </c>
      <c r="D34" s="206">
        <f>Data!Q36/D$2*100000</f>
        <v>0</v>
      </c>
      <c r="E34" s="206">
        <f>Data!R36/E$2*100000</f>
        <v>0</v>
      </c>
      <c r="F34" s="206">
        <f>Data!S36/F$2*100000</f>
        <v>0</v>
      </c>
      <c r="G34" s="206">
        <f>Data!T36/G$2*100000</f>
        <v>1.1703024061417471</v>
      </c>
      <c r="H34" s="206">
        <f>Data!U36/H$2*100000</f>
        <v>0.96660383741723443</v>
      </c>
      <c r="I34" s="206">
        <f>Data!V36/I$2*100000</f>
        <v>1.9906241602054324</v>
      </c>
      <c r="J34" s="206">
        <f>Data!W36/J$2*100000</f>
        <v>3.3211925295309372</v>
      </c>
      <c r="K34" s="206">
        <f>Data!X36/K$2*100000</f>
        <v>6.8839706742849271</v>
      </c>
      <c r="L34" s="206">
        <f>Data!Y36/L$2*100000</f>
        <v>6.2912206016503971</v>
      </c>
      <c r="M34" s="206">
        <f>Data!Z36/M$2*100000</f>
        <v>4.0408530240733818</v>
      </c>
      <c r="N34" s="206">
        <f>Data!AA36/N$2*100000</f>
        <v>7.5660134675039723</v>
      </c>
      <c r="O34" s="206">
        <f>Data!AB36/O$2*100000</f>
        <v>7.2643496850385532</v>
      </c>
      <c r="P34" s="206">
        <f>Data!AC36/P$2*100000</f>
        <v>13.725705501262764</v>
      </c>
      <c r="Q34" s="206">
        <f>Data!AD36/Q$2*100000</f>
        <v>8.7349976415506365</v>
      </c>
      <c r="R34" s="206">
        <f>Data!AE36/R$2*100000</f>
        <v>10.566803330656409</v>
      </c>
      <c r="S34" s="206">
        <f>Data!AF36/S$2*100000</f>
        <v>10.120177103099305</v>
      </c>
      <c r="T34" s="206">
        <f>Data!AG36/T$2*100000</f>
        <v>0</v>
      </c>
      <c r="U34" s="206">
        <f>Data!AH36/U$2*100000</f>
        <v>0</v>
      </c>
      <c r="V34" s="206">
        <f>Data!D36/V$2*100000</f>
        <v>4.6340172744205237</v>
      </c>
      <c r="W34" s="182"/>
    </row>
    <row r="35" spans="1:23" ht="12" customHeight="1">
      <c r="A35" s="182"/>
      <c r="B35" s="187" t="str">
        <f>UPPER(LEFT(TRIM(Data!B37),1)) &amp; MID(TRIM(Data!B37),2,50)</f>
        <v>Kitų endokrininių liaukų</v>
      </c>
      <c r="C35" s="188" t="str">
        <f>Data!C37</f>
        <v>C74-C75</v>
      </c>
      <c r="D35" s="205">
        <f>Data!Q37/D$2*100000</f>
        <v>1.2918060740721602</v>
      </c>
      <c r="E35" s="205">
        <f>Data!R37/E$2*100000</f>
        <v>0</v>
      </c>
      <c r="F35" s="205">
        <f>Data!S37/F$2*100000</f>
        <v>0</v>
      </c>
      <c r="G35" s="205">
        <f>Data!T37/G$2*100000</f>
        <v>0</v>
      </c>
      <c r="H35" s="205">
        <f>Data!U37/H$2*100000</f>
        <v>0</v>
      </c>
      <c r="I35" s="205">
        <f>Data!V37/I$2*100000</f>
        <v>0</v>
      </c>
      <c r="J35" s="205">
        <f>Data!W37/J$2*100000</f>
        <v>0</v>
      </c>
      <c r="K35" s="205">
        <f>Data!X37/K$2*100000</f>
        <v>0</v>
      </c>
      <c r="L35" s="205">
        <f>Data!Y37/L$2*100000</f>
        <v>0</v>
      </c>
      <c r="M35" s="205">
        <f>Data!Z37/M$2*100000</f>
        <v>0</v>
      </c>
      <c r="N35" s="205">
        <f>Data!AA37/N$2*100000</f>
        <v>0.94575168343799654</v>
      </c>
      <c r="O35" s="205">
        <f>Data!AB37/O$2*100000</f>
        <v>1.0377642407197933</v>
      </c>
      <c r="P35" s="205">
        <f>Data!AC37/P$2*100000</f>
        <v>0</v>
      </c>
      <c r="Q35" s="205">
        <f>Data!AD37/Q$2*100000</f>
        <v>3.4939990566202548</v>
      </c>
      <c r="R35" s="205">
        <f>Data!AE37/R$2*100000</f>
        <v>6.3400819983938463</v>
      </c>
      <c r="S35" s="205">
        <f>Data!AF37/S$2*100000</f>
        <v>7.5901328273244788</v>
      </c>
      <c r="T35" s="205">
        <f>Data!AG37/T$2*100000</f>
        <v>0</v>
      </c>
      <c r="U35" s="205">
        <f>Data!AH37/U$2*100000</f>
        <v>13.105301094292642</v>
      </c>
      <c r="V35" s="205">
        <f>Data!D37/V$2*100000</f>
        <v>0.97164878334623883</v>
      </c>
      <c r="W35" s="182"/>
    </row>
    <row r="36" spans="1:23" ht="12" customHeight="1">
      <c r="A36" s="182"/>
      <c r="B36" s="201" t="str">
        <f>UPPER(LEFT(TRIM(Data!B38),1)) &amp; MID(TRIM(Data!B38),2,50)</f>
        <v>Nepatikslintos lokalizacijos</v>
      </c>
      <c r="C36" s="202" t="str">
        <f>Data!C38</f>
        <v>C76-C80</v>
      </c>
      <c r="D36" s="206">
        <f>Data!Q38/D$2*100000</f>
        <v>0</v>
      </c>
      <c r="E36" s="206">
        <f>Data!R38/E$2*100000</f>
        <v>0</v>
      </c>
      <c r="F36" s="206">
        <f>Data!S38/F$2*100000</f>
        <v>0</v>
      </c>
      <c r="G36" s="206">
        <f>Data!T38/G$2*100000</f>
        <v>0</v>
      </c>
      <c r="H36" s="206">
        <f>Data!U38/H$2*100000</f>
        <v>0</v>
      </c>
      <c r="I36" s="206">
        <f>Data!V38/I$2*100000</f>
        <v>0</v>
      </c>
      <c r="J36" s="206">
        <f>Data!W38/J$2*100000</f>
        <v>0</v>
      </c>
      <c r="K36" s="206">
        <f>Data!X38/K$2*100000</f>
        <v>1.1473284457141546</v>
      </c>
      <c r="L36" s="206">
        <f>Data!Y38/L$2*100000</f>
        <v>2.0970735338834658</v>
      </c>
      <c r="M36" s="206">
        <f>Data!Z38/M$2*100000</f>
        <v>1.0102132560183454</v>
      </c>
      <c r="N36" s="206">
        <f>Data!AA38/N$2*100000</f>
        <v>11.349020201255957</v>
      </c>
      <c r="O36" s="206">
        <f>Data!AB38/O$2*100000</f>
        <v>32.170691462313592</v>
      </c>
      <c r="P36" s="206">
        <f>Data!AC38/P$2*100000</f>
        <v>35.686834303283192</v>
      </c>
      <c r="Q36" s="206">
        <f>Data!AD38/Q$2*100000</f>
        <v>68.132981604094965</v>
      </c>
      <c r="R36" s="206">
        <f>Data!AE38/R$2*100000</f>
        <v>88.761147977513843</v>
      </c>
      <c r="S36" s="206">
        <f>Data!AF38/S$2*100000</f>
        <v>88.551549652118908</v>
      </c>
      <c r="T36" s="206">
        <f>Data!AG38/T$2*100000</f>
        <v>92.421441774491683</v>
      </c>
      <c r="U36" s="206">
        <f>Data!AH38/U$2*100000</f>
        <v>98.289758207194808</v>
      </c>
      <c r="V36" s="206">
        <f>Data!D38/V$2*100000</f>
        <v>16.966482601507401</v>
      </c>
      <c r="W36" s="182"/>
    </row>
    <row r="37" spans="1:23" ht="12" customHeight="1">
      <c r="A37" s="182"/>
      <c r="B37" s="187" t="str">
        <f>UPPER(LEFT(TRIM(Data!B39),1)) &amp; MID(TRIM(Data!B39),2,50)</f>
        <v>Hodžkino limfomos</v>
      </c>
      <c r="C37" s="188" t="str">
        <f>Data!C39</f>
        <v>C81</v>
      </c>
      <c r="D37" s="205">
        <f>Data!Q39/D$2*100000</f>
        <v>0</v>
      </c>
      <c r="E37" s="205">
        <f>Data!R39/E$2*100000</f>
        <v>0</v>
      </c>
      <c r="F37" s="205">
        <f>Data!S39/F$2*100000</f>
        <v>0</v>
      </c>
      <c r="G37" s="205">
        <f>Data!T39/G$2*100000</f>
        <v>0</v>
      </c>
      <c r="H37" s="205">
        <f>Data!U39/H$2*100000</f>
        <v>3.8664153496689377</v>
      </c>
      <c r="I37" s="205">
        <f>Data!V39/I$2*100000</f>
        <v>2.9859362403081486</v>
      </c>
      <c r="J37" s="205">
        <f>Data!W39/J$2*100000</f>
        <v>3.3211925295309372</v>
      </c>
      <c r="K37" s="205">
        <f>Data!X39/K$2*100000</f>
        <v>0</v>
      </c>
      <c r="L37" s="205">
        <f>Data!Y39/L$2*100000</f>
        <v>2.0970735338834658</v>
      </c>
      <c r="M37" s="205">
        <f>Data!Z39/M$2*100000</f>
        <v>0</v>
      </c>
      <c r="N37" s="205">
        <f>Data!AA39/N$2*100000</f>
        <v>0.94575168343799654</v>
      </c>
      <c r="O37" s="205">
        <f>Data!AB39/O$2*100000</f>
        <v>0</v>
      </c>
      <c r="P37" s="205">
        <f>Data!AC39/P$2*100000</f>
        <v>0</v>
      </c>
      <c r="Q37" s="205">
        <f>Data!AD39/Q$2*100000</f>
        <v>3.4939990566202548</v>
      </c>
      <c r="R37" s="205">
        <f>Data!AE39/R$2*100000</f>
        <v>2.1133606661312818</v>
      </c>
      <c r="S37" s="205">
        <f>Data!AF39/S$2*100000</f>
        <v>0</v>
      </c>
      <c r="T37" s="205">
        <f>Data!AG39/T$2*100000</f>
        <v>4.0183235554126817</v>
      </c>
      <c r="U37" s="205">
        <f>Data!AH39/U$2*100000</f>
        <v>6.552650547146321</v>
      </c>
      <c r="V37" s="205">
        <f>Data!D39/V$2*100000</f>
        <v>1.345359853864023</v>
      </c>
      <c r="W37" s="182"/>
    </row>
    <row r="38" spans="1:23" ht="12" customHeight="1">
      <c r="A38" s="182"/>
      <c r="B38" s="201" t="str">
        <f>UPPER(LEFT(TRIM(Data!B40),1)) &amp; MID(TRIM(Data!B40),2,50)</f>
        <v>Ne Hodžkino limfomos</v>
      </c>
      <c r="C38" s="202" t="str">
        <f>Data!C40</f>
        <v>C82-C85</v>
      </c>
      <c r="D38" s="206">
        <f>Data!Q40/D$2*100000</f>
        <v>2.5836121481443204</v>
      </c>
      <c r="E38" s="206">
        <f>Data!R40/E$2*100000</f>
        <v>1.4031346027024372</v>
      </c>
      <c r="F38" s="206">
        <f>Data!S40/F$2*100000</f>
        <v>4.3575516369868987</v>
      </c>
      <c r="G38" s="206">
        <f>Data!T40/G$2*100000</f>
        <v>1.1703024061417471</v>
      </c>
      <c r="H38" s="206">
        <f>Data!U40/H$2*100000</f>
        <v>0.96660383741723443</v>
      </c>
      <c r="I38" s="206">
        <f>Data!V40/I$2*100000</f>
        <v>1.9906241602054324</v>
      </c>
      <c r="J38" s="206">
        <f>Data!W40/J$2*100000</f>
        <v>9.9635775885928108</v>
      </c>
      <c r="K38" s="206">
        <f>Data!X40/K$2*100000</f>
        <v>8.0312991199990815</v>
      </c>
      <c r="L38" s="206">
        <f>Data!Y40/L$2*100000</f>
        <v>5.2426838347086635</v>
      </c>
      <c r="M38" s="206">
        <f>Data!Z40/M$2*100000</f>
        <v>5.0510662800917272</v>
      </c>
      <c r="N38" s="206">
        <f>Data!AA40/N$2*100000</f>
        <v>3.7830067337519862</v>
      </c>
      <c r="O38" s="206">
        <f>Data!AB40/O$2*100000</f>
        <v>29.057398740154213</v>
      </c>
      <c r="P38" s="206">
        <f>Data!AC40/P$2*100000</f>
        <v>27.451411002525528</v>
      </c>
      <c r="Q38" s="206">
        <f>Data!AD40/Q$2*100000</f>
        <v>34.939990566202546</v>
      </c>
      <c r="R38" s="206">
        <f>Data!AE40/R$2*100000</f>
        <v>35.927131324231794</v>
      </c>
      <c r="S38" s="206">
        <f>Data!AF40/S$2*100000</f>
        <v>32.890575585072739</v>
      </c>
      <c r="T38" s="206">
        <f>Data!AG40/T$2*100000</f>
        <v>72.329823997428278</v>
      </c>
      <c r="U38" s="206">
        <f>Data!AH40/U$2*100000</f>
        <v>58.973854924316889</v>
      </c>
      <c r="V38" s="206">
        <f>Data!D40/V$2*100000</f>
        <v>12.332465327086878</v>
      </c>
      <c r="W38" s="182"/>
    </row>
    <row r="39" spans="1:23" ht="12" customHeight="1">
      <c r="A39" s="182"/>
      <c r="B39" s="187" t="str">
        <f>UPPER(LEFT(TRIM(Data!B41),1)) &amp; MID(TRIM(Data!B41),2,50)</f>
        <v>Mielominės ligos</v>
      </c>
      <c r="C39" s="188" t="str">
        <f>Data!C41</f>
        <v>C90</v>
      </c>
      <c r="D39" s="205">
        <f>Data!Q41/D$2*100000</f>
        <v>0</v>
      </c>
      <c r="E39" s="205">
        <f>Data!R41/E$2*100000</f>
        <v>0</v>
      </c>
      <c r="F39" s="205">
        <f>Data!S41/F$2*100000</f>
        <v>0</v>
      </c>
      <c r="G39" s="205">
        <f>Data!T41/G$2*100000</f>
        <v>0</v>
      </c>
      <c r="H39" s="205">
        <f>Data!U41/H$2*100000</f>
        <v>0</v>
      </c>
      <c r="I39" s="205">
        <f>Data!V41/I$2*100000</f>
        <v>0</v>
      </c>
      <c r="J39" s="205">
        <f>Data!W41/J$2*100000</f>
        <v>0</v>
      </c>
      <c r="K39" s="205">
        <f>Data!X41/K$2*100000</f>
        <v>0</v>
      </c>
      <c r="L39" s="205">
        <f>Data!Y41/L$2*100000</f>
        <v>2.0970735338834658</v>
      </c>
      <c r="M39" s="205">
        <f>Data!Z41/M$2*100000</f>
        <v>1.0102132560183454</v>
      </c>
      <c r="N39" s="205">
        <f>Data!AA41/N$2*100000</f>
        <v>1.8915033668759931</v>
      </c>
      <c r="O39" s="205">
        <f>Data!AB41/O$2*100000</f>
        <v>11.415406647917726</v>
      </c>
      <c r="P39" s="205">
        <f>Data!AC41/P$2*100000</f>
        <v>8.2354233007576596</v>
      </c>
      <c r="Q39" s="205">
        <f>Data!AD41/Q$2*100000</f>
        <v>10.481997169860765</v>
      </c>
      <c r="R39" s="205">
        <f>Data!AE41/R$2*100000</f>
        <v>31.700409991969227</v>
      </c>
      <c r="S39" s="205">
        <f>Data!AF41/S$2*100000</f>
        <v>35.420619860847566</v>
      </c>
      <c r="T39" s="205">
        <f>Data!AG41/T$2*100000</f>
        <v>60.274853331190229</v>
      </c>
      <c r="U39" s="205">
        <f>Data!AH41/U$2*100000</f>
        <v>39.315903282877926</v>
      </c>
      <c r="V39" s="205">
        <f>Data!D41/V$2*100000</f>
        <v>5.8298927000774325</v>
      </c>
      <c r="W39" s="182"/>
    </row>
    <row r="40" spans="1:23" ht="12" customHeight="1">
      <c r="A40" s="182"/>
      <c r="B40" s="201" t="str">
        <f>UPPER(LEFT(TRIM(Data!B42),1)) &amp; MID(TRIM(Data!B42),2,50)</f>
        <v>Leukemijos</v>
      </c>
      <c r="C40" s="202" t="str">
        <f>Data!C42</f>
        <v>C91-C95</v>
      </c>
      <c r="D40" s="206">
        <f>Data!Q42/D$2*100000</f>
        <v>10.334448592577282</v>
      </c>
      <c r="E40" s="206">
        <f>Data!R42/E$2*100000</f>
        <v>4.2094038081073117</v>
      </c>
      <c r="F40" s="206">
        <f>Data!S42/F$2*100000</f>
        <v>2.9050344246579325</v>
      </c>
      <c r="G40" s="206">
        <f>Data!T42/G$2*100000</f>
        <v>2.3406048122834942</v>
      </c>
      <c r="H40" s="206">
        <f>Data!U42/H$2*100000</f>
        <v>1.9332076748344689</v>
      </c>
      <c r="I40" s="206">
        <f>Data!V42/I$2*100000</f>
        <v>7.9624966408217297</v>
      </c>
      <c r="J40" s="206">
        <f>Data!W42/J$2*100000</f>
        <v>3.3211925295309372</v>
      </c>
      <c r="K40" s="206">
        <f>Data!X42/K$2*100000</f>
        <v>2.2946568914283092</v>
      </c>
      <c r="L40" s="206">
        <f>Data!Y42/L$2*100000</f>
        <v>7.3397573685921289</v>
      </c>
      <c r="M40" s="206">
        <f>Data!Z42/M$2*100000</f>
        <v>7.0714927921284181</v>
      </c>
      <c r="N40" s="206">
        <f>Data!AA42/N$2*100000</f>
        <v>17.023530301883937</v>
      </c>
      <c r="O40" s="206">
        <f>Data!AB42/O$2*100000</f>
        <v>24.906341777275035</v>
      </c>
      <c r="P40" s="206">
        <f>Data!AC42/P$2*100000</f>
        <v>31.569122652904358</v>
      </c>
      <c r="Q40" s="206">
        <f>Data!AD42/Q$2*100000</f>
        <v>61.144983490854457</v>
      </c>
      <c r="R40" s="206">
        <f>Data!AE42/R$2*100000</f>
        <v>76.080983980726145</v>
      </c>
      <c r="S40" s="206">
        <f>Data!AF42/S$2*100000</f>
        <v>73.371283997469959</v>
      </c>
      <c r="T40" s="206">
        <f>Data!AG42/T$2*100000</f>
        <v>92.421441774491683</v>
      </c>
      <c r="U40" s="206">
        <f>Data!AH42/U$2*100000</f>
        <v>111.39505930148745</v>
      </c>
      <c r="V40" s="206">
        <f>Data!D42/V$2*100000</f>
        <v>18.61081131178565</v>
      </c>
      <c r="W40" s="182"/>
    </row>
    <row r="41" spans="1:23" ht="12" customHeight="1">
      <c r="A41" s="182"/>
      <c r="B41" s="187" t="str">
        <f>UPPER(LEFT(TRIM(Data!B43),1)) &amp; MID(TRIM(Data!B43),2,50)</f>
        <v>Kiti limfinio, kraujodaros audinių</v>
      </c>
      <c r="C41" s="188" t="str">
        <f>Data!C43</f>
        <v>C88, C96</v>
      </c>
      <c r="D41" s="205">
        <f>Data!Q43/D$2*100000</f>
        <v>0</v>
      </c>
      <c r="E41" s="205">
        <f>Data!R43/E$2*100000</f>
        <v>0</v>
      </c>
      <c r="F41" s="205">
        <f>Data!S43/F$2*100000</f>
        <v>0</v>
      </c>
      <c r="G41" s="205">
        <f>Data!T43/G$2*100000</f>
        <v>0</v>
      </c>
      <c r="H41" s="205">
        <f>Data!U43/H$2*100000</f>
        <v>0.96660383741723443</v>
      </c>
      <c r="I41" s="205">
        <f>Data!V43/I$2*100000</f>
        <v>0</v>
      </c>
      <c r="J41" s="205">
        <f>Data!W43/J$2*100000</f>
        <v>0</v>
      </c>
      <c r="K41" s="205">
        <f>Data!X43/K$2*100000</f>
        <v>0</v>
      </c>
      <c r="L41" s="205">
        <f>Data!Y43/L$2*100000</f>
        <v>0</v>
      </c>
      <c r="M41" s="205">
        <f>Data!Z43/M$2*100000</f>
        <v>1.0102132560183454</v>
      </c>
      <c r="N41" s="205">
        <f>Data!AA43/N$2*100000</f>
        <v>0</v>
      </c>
      <c r="O41" s="205">
        <f>Data!AB43/O$2*100000</f>
        <v>0</v>
      </c>
      <c r="P41" s="205">
        <f>Data!AC43/P$2*100000</f>
        <v>0</v>
      </c>
      <c r="Q41" s="205">
        <f>Data!AD43/Q$2*100000</f>
        <v>1.7469995283101274</v>
      </c>
      <c r="R41" s="205">
        <f>Data!AE43/R$2*100000</f>
        <v>2.1133606661312818</v>
      </c>
      <c r="S41" s="205">
        <f>Data!AF43/S$2*100000</f>
        <v>2.5300442757748263</v>
      </c>
      <c r="T41" s="205">
        <f>Data!AG43/T$2*100000</f>
        <v>0</v>
      </c>
      <c r="U41" s="205">
        <f>Data!AH43/U$2*100000</f>
        <v>0</v>
      </c>
      <c r="V41" s="205">
        <f>Data!D43/V$2*100000</f>
        <v>0.37371107051778418</v>
      </c>
      <c r="W41" s="182"/>
    </row>
    <row r="42" spans="1:23" ht="24" customHeight="1">
      <c r="A42" s="182"/>
      <c r="B42" s="203"/>
      <c r="C42" s="204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182"/>
    </row>
    <row r="43" spans="1:23" ht="12" customHeight="1">
      <c r="A43" s="182"/>
      <c r="B43" s="187" t="str">
        <f>UPPER(LEFT(TRIM(Data!B44),1)) &amp; MID(TRIM(Data!B44),2,50)</f>
        <v>Melanoma in situ</v>
      </c>
      <c r="C43" s="188" t="str">
        <f>Data!C44</f>
        <v>D03</v>
      </c>
      <c r="D43" s="205">
        <f>Data!Q44/D$2*100000</f>
        <v>0</v>
      </c>
      <c r="E43" s="205">
        <f>Data!R44/E$2*100000</f>
        <v>0</v>
      </c>
      <c r="F43" s="205">
        <f>Data!S44/F$2*100000</f>
        <v>0</v>
      </c>
      <c r="G43" s="205">
        <f>Data!T44/G$2*100000</f>
        <v>0</v>
      </c>
      <c r="H43" s="205">
        <f>Data!U44/H$2*100000</f>
        <v>0</v>
      </c>
      <c r="I43" s="205">
        <f>Data!V44/I$2*100000</f>
        <v>0</v>
      </c>
      <c r="J43" s="205">
        <f>Data!W44/J$2*100000</f>
        <v>0</v>
      </c>
      <c r="K43" s="205">
        <f>Data!X44/K$2*100000</f>
        <v>1.1473284457141546</v>
      </c>
      <c r="L43" s="205">
        <f>Data!Y44/L$2*100000</f>
        <v>1.0485367669417329</v>
      </c>
      <c r="M43" s="205">
        <f>Data!Z44/M$2*100000</f>
        <v>3.0306397680550363</v>
      </c>
      <c r="N43" s="205">
        <f>Data!AA44/N$2*100000</f>
        <v>1.8915033668759931</v>
      </c>
      <c r="O43" s="205">
        <f>Data!AB44/O$2*100000</f>
        <v>1.0377642407197933</v>
      </c>
      <c r="P43" s="205">
        <f>Data!AC44/P$2*100000</f>
        <v>1.3725705501262766</v>
      </c>
      <c r="Q43" s="205">
        <f>Data!AD44/Q$2*100000</f>
        <v>1.7469995283101274</v>
      </c>
      <c r="R43" s="205">
        <f>Data!AE44/R$2*100000</f>
        <v>2.1133606661312818</v>
      </c>
      <c r="S43" s="205">
        <f>Data!AF44/S$2*100000</f>
        <v>0</v>
      </c>
      <c r="T43" s="205">
        <f>Data!AG44/T$2*100000</f>
        <v>4.0183235554126817</v>
      </c>
      <c r="U43" s="205">
        <f>Data!AH44/U$2*100000</f>
        <v>6.552650547146321</v>
      </c>
      <c r="V43" s="205">
        <f>Data!D44/V$2*100000</f>
        <v>0.97164878334623883</v>
      </c>
      <c r="W43" s="182"/>
    </row>
    <row r="44" spans="1:23" ht="12" customHeight="1">
      <c r="A44" s="182"/>
      <c r="B44" s="201" t="str">
        <f>UPPER(LEFT(TRIM(Data!B45),1)) &amp; MID(TRIM(Data!B45),2,50)</f>
        <v>Krūties navikai in situ</v>
      </c>
      <c r="C44" s="202" t="str">
        <f>Data!C45</f>
        <v>D05</v>
      </c>
      <c r="D44" s="206">
        <f>Data!Q45/D$2*100000</f>
        <v>0</v>
      </c>
      <c r="E44" s="206">
        <f>Data!R45/E$2*100000</f>
        <v>0</v>
      </c>
      <c r="F44" s="206">
        <f>Data!S45/F$2*100000</f>
        <v>0</v>
      </c>
      <c r="G44" s="206">
        <f>Data!T45/G$2*100000</f>
        <v>0</v>
      </c>
      <c r="H44" s="206">
        <f>Data!U45/H$2*100000</f>
        <v>0</v>
      </c>
      <c r="I44" s="206">
        <f>Data!V45/I$2*100000</f>
        <v>0</v>
      </c>
      <c r="J44" s="206">
        <f>Data!W45/J$2*100000</f>
        <v>0</v>
      </c>
      <c r="K44" s="206">
        <f>Data!X45/K$2*100000</f>
        <v>0</v>
      </c>
      <c r="L44" s="206">
        <f>Data!Y45/L$2*100000</f>
        <v>0</v>
      </c>
      <c r="M44" s="206">
        <f>Data!Z45/M$2*100000</f>
        <v>0</v>
      </c>
      <c r="N44" s="206">
        <f>Data!AA45/N$2*100000</f>
        <v>0</v>
      </c>
      <c r="O44" s="206">
        <f>Data!AB45/O$2*100000</f>
        <v>0</v>
      </c>
      <c r="P44" s="206">
        <f>Data!AC45/P$2*100000</f>
        <v>0</v>
      </c>
      <c r="Q44" s="206">
        <f>Data!AD45/Q$2*100000</f>
        <v>0</v>
      </c>
      <c r="R44" s="206">
        <f>Data!AE45/R$2*100000</f>
        <v>0</v>
      </c>
      <c r="S44" s="206">
        <f>Data!AF45/S$2*100000</f>
        <v>0</v>
      </c>
      <c r="T44" s="206">
        <f>Data!AG45/T$2*100000</f>
        <v>0</v>
      </c>
      <c r="U44" s="206">
        <f>Data!AH45/U$2*100000</f>
        <v>0</v>
      </c>
      <c r="V44" s="206">
        <f>Data!D45/V$2*100000</f>
        <v>0</v>
      </c>
      <c r="W44" s="182"/>
    </row>
    <row r="45" spans="1:23" ht="12" customHeight="1">
      <c r="A45" s="182"/>
      <c r="B45" s="187" t="str">
        <f>UPPER(LEFT(TRIM(Data!B47),1)) &amp; MID(TRIM(Data!B47),2,50)</f>
        <v>Šlapimo pūslės in situ</v>
      </c>
      <c r="C45" s="188" t="str">
        <f>Data!C47</f>
        <v>D09.0</v>
      </c>
      <c r="D45" s="205">
        <f>Data!Q47/D$2*100000</f>
        <v>0</v>
      </c>
      <c r="E45" s="205">
        <f>Data!R47/E$2*100000</f>
        <v>0</v>
      </c>
      <c r="F45" s="205">
        <f>Data!S47/F$2*100000</f>
        <v>0</v>
      </c>
      <c r="G45" s="205">
        <f>Data!T47/G$2*100000</f>
        <v>1.1703024061417471</v>
      </c>
      <c r="H45" s="205">
        <f>Data!U47/H$2*100000</f>
        <v>0.96660383741723443</v>
      </c>
      <c r="I45" s="205">
        <f>Data!V47/I$2*100000</f>
        <v>0.99531208010271621</v>
      </c>
      <c r="J45" s="205">
        <f>Data!W47/J$2*100000</f>
        <v>0</v>
      </c>
      <c r="K45" s="205">
        <f>Data!X47/K$2*100000</f>
        <v>0</v>
      </c>
      <c r="L45" s="205">
        <f>Data!Y47/L$2*100000</f>
        <v>2.0970735338834658</v>
      </c>
      <c r="M45" s="205">
        <f>Data!Z47/M$2*100000</f>
        <v>2.0204265120366909</v>
      </c>
      <c r="N45" s="205">
        <f>Data!AA47/N$2*100000</f>
        <v>8.5117651509419687</v>
      </c>
      <c r="O45" s="205">
        <f>Data!AB47/O$2*100000</f>
        <v>14.528699370077106</v>
      </c>
      <c r="P45" s="205">
        <f>Data!AC47/P$2*100000</f>
        <v>16.470846601515319</v>
      </c>
      <c r="Q45" s="205">
        <f>Data!AD47/Q$2*100000</f>
        <v>43.674988207753181</v>
      </c>
      <c r="R45" s="205">
        <f>Data!AE47/R$2*100000</f>
        <v>31.700409991969227</v>
      </c>
      <c r="S45" s="205">
        <f>Data!AF47/S$2*100000</f>
        <v>48.070841239721695</v>
      </c>
      <c r="T45" s="205">
        <f>Data!AG47/T$2*100000</f>
        <v>20.091617777063409</v>
      </c>
      <c r="U45" s="205">
        <f>Data!AH47/U$2*100000</f>
        <v>13.105301094292642</v>
      </c>
      <c r="V45" s="205">
        <f>Data!D47/V$2*100000</f>
        <v>8.0721591231841376</v>
      </c>
      <c r="W45" s="182"/>
    </row>
    <row r="46" spans="1:23" ht="12" customHeight="1">
      <c r="A46" s="182"/>
      <c r="B46" s="201" t="str">
        <f>UPPER(LEFT(TRIM(Data!B48),1)) &amp; MID(TRIM(Data!B48),2,50)</f>
        <v>Nervų sistemos gerybiniai navikai</v>
      </c>
      <c r="C46" s="202" t="str">
        <f>Data!C48</f>
        <v>D32, D33</v>
      </c>
      <c r="D46" s="206">
        <f>Data!Q48/D$2*100000</f>
        <v>1.2918060740721602</v>
      </c>
      <c r="E46" s="206">
        <f>Data!R48/E$2*100000</f>
        <v>0</v>
      </c>
      <c r="F46" s="206">
        <f>Data!S48/F$2*100000</f>
        <v>1.4525172123289662</v>
      </c>
      <c r="G46" s="206">
        <f>Data!T48/G$2*100000</f>
        <v>0</v>
      </c>
      <c r="H46" s="206">
        <f>Data!U48/H$2*100000</f>
        <v>0.96660383741723443</v>
      </c>
      <c r="I46" s="206">
        <f>Data!V48/I$2*100000</f>
        <v>0.99531208010271621</v>
      </c>
      <c r="J46" s="206">
        <f>Data!W48/J$2*100000</f>
        <v>2.2141283530206248</v>
      </c>
      <c r="K46" s="206">
        <f>Data!X48/K$2*100000</f>
        <v>2.2946568914283092</v>
      </c>
      <c r="L46" s="206">
        <f>Data!Y48/L$2*100000</f>
        <v>5.2426838347086635</v>
      </c>
      <c r="M46" s="206">
        <f>Data!Z48/M$2*100000</f>
        <v>1.0102132560183454</v>
      </c>
      <c r="N46" s="206">
        <f>Data!AA48/N$2*100000</f>
        <v>6.620261784065975</v>
      </c>
      <c r="O46" s="206">
        <f>Data!AB48/O$2*100000</f>
        <v>8.3021139257583467</v>
      </c>
      <c r="P46" s="206">
        <f>Data!AC48/P$2*100000</f>
        <v>6.8628527506313821</v>
      </c>
      <c r="Q46" s="206">
        <f>Data!AD48/Q$2*100000</f>
        <v>6.9879981132405096</v>
      </c>
      <c r="R46" s="206">
        <f>Data!AE48/R$2*100000</f>
        <v>10.566803330656409</v>
      </c>
      <c r="S46" s="206">
        <f>Data!AF48/S$2*100000</f>
        <v>15.180265654648958</v>
      </c>
      <c r="T46" s="206">
        <f>Data!AG48/T$2*100000</f>
        <v>16.073294221650727</v>
      </c>
      <c r="U46" s="206">
        <f>Data!AH48/U$2*100000</f>
        <v>13.105301094292642</v>
      </c>
      <c r="V46" s="206">
        <f>Data!D48/V$2*100000</f>
        <v>4.1108217756956256</v>
      </c>
      <c r="W46" s="182"/>
    </row>
    <row r="47" spans="1:23" ht="12" customHeight="1">
      <c r="A47" s="182"/>
      <c r="B47" s="187" t="str">
        <f>UPPER(LEFT(TRIM(Data!B50),1)) &amp; MID(TRIM(Data!B50),2,50)</f>
        <v>Kiti nervų sistemos</v>
      </c>
      <c r="C47" s="188" t="str">
        <f>Data!C50</f>
        <v>D42, D43</v>
      </c>
      <c r="D47" s="205">
        <f>Data!Q50/D$2*100000</f>
        <v>3.875418222216481</v>
      </c>
      <c r="E47" s="205">
        <f>Data!R50/E$2*100000</f>
        <v>0</v>
      </c>
      <c r="F47" s="205">
        <f>Data!S50/F$2*100000</f>
        <v>0</v>
      </c>
      <c r="G47" s="205">
        <f>Data!T50/G$2*100000</f>
        <v>0</v>
      </c>
      <c r="H47" s="205">
        <f>Data!U50/H$2*100000</f>
        <v>0</v>
      </c>
      <c r="I47" s="205">
        <f>Data!V50/I$2*100000</f>
        <v>0</v>
      </c>
      <c r="J47" s="205">
        <f>Data!W50/J$2*100000</f>
        <v>2.2141283530206248</v>
      </c>
      <c r="K47" s="205">
        <f>Data!X50/K$2*100000</f>
        <v>0</v>
      </c>
      <c r="L47" s="205">
        <f>Data!Y50/L$2*100000</f>
        <v>2.0970735338834658</v>
      </c>
      <c r="M47" s="205">
        <f>Data!Z50/M$2*100000</f>
        <v>2.0204265120366909</v>
      </c>
      <c r="N47" s="205">
        <f>Data!AA50/N$2*100000</f>
        <v>1.8915033668759931</v>
      </c>
      <c r="O47" s="205">
        <f>Data!AB50/O$2*100000</f>
        <v>0</v>
      </c>
      <c r="P47" s="205">
        <f>Data!AC50/P$2*100000</f>
        <v>1.3725705501262766</v>
      </c>
      <c r="Q47" s="205">
        <f>Data!AD50/Q$2*100000</f>
        <v>0</v>
      </c>
      <c r="R47" s="205">
        <f>Data!AE50/R$2*100000</f>
        <v>4.2267213322625636</v>
      </c>
      <c r="S47" s="205">
        <f>Data!AF50/S$2*100000</f>
        <v>7.5901328273244788</v>
      </c>
      <c r="T47" s="205">
        <f>Data!AG50/T$2*100000</f>
        <v>8.0366471108253634</v>
      </c>
      <c r="U47" s="205">
        <f>Data!AH50/U$2*100000</f>
        <v>0</v>
      </c>
      <c r="V47" s="205">
        <f>Data!D50/V$2*100000</f>
        <v>1.4201020679675798</v>
      </c>
      <c r="W47" s="182"/>
    </row>
    <row r="48" spans="1:23" ht="12" customHeight="1">
      <c r="A48" s="182"/>
      <c r="B48" s="201" t="str">
        <f>UPPER(LEFT(TRIM(Data!B51),1)) &amp; MID(TRIM(Data!B51),2,50)</f>
        <v>Limfinio ir kraujodaros audinių</v>
      </c>
      <c r="C48" s="202" t="str">
        <f>Data!C51</f>
        <v>D45-D47</v>
      </c>
      <c r="D48" s="206">
        <f>Data!Q51/D$2*100000</f>
        <v>0</v>
      </c>
      <c r="E48" s="206">
        <f>Data!R51/E$2*100000</f>
        <v>1.4031346027024372</v>
      </c>
      <c r="F48" s="206">
        <f>Data!S51/F$2*100000</f>
        <v>0</v>
      </c>
      <c r="G48" s="206">
        <f>Data!T51/G$2*100000</f>
        <v>0</v>
      </c>
      <c r="H48" s="206">
        <f>Data!U51/H$2*100000</f>
        <v>0</v>
      </c>
      <c r="I48" s="206">
        <f>Data!V51/I$2*100000</f>
        <v>1.9906241602054324</v>
      </c>
      <c r="J48" s="206">
        <f>Data!W51/J$2*100000</f>
        <v>1.1070641765103124</v>
      </c>
      <c r="K48" s="206">
        <f>Data!X51/K$2*100000</f>
        <v>2.2946568914283092</v>
      </c>
      <c r="L48" s="206">
        <f>Data!Y51/L$2*100000</f>
        <v>3.1456103008251985</v>
      </c>
      <c r="M48" s="206">
        <f>Data!Z51/M$2*100000</f>
        <v>7.0714927921284181</v>
      </c>
      <c r="N48" s="206">
        <f>Data!AA51/N$2*100000</f>
        <v>8.5117651509419687</v>
      </c>
      <c r="O48" s="206">
        <f>Data!AB51/O$2*100000</f>
        <v>13.490935129357313</v>
      </c>
      <c r="P48" s="206">
        <f>Data!AC51/P$2*100000</f>
        <v>21.961128802020426</v>
      </c>
      <c r="Q48" s="206">
        <f>Data!AD51/Q$2*100000</f>
        <v>31.445991509582292</v>
      </c>
      <c r="R48" s="206">
        <f>Data!AE51/R$2*100000</f>
        <v>57.060737985544613</v>
      </c>
      <c r="S48" s="206">
        <f>Data!AF51/S$2*100000</f>
        <v>88.551549652118908</v>
      </c>
      <c r="T48" s="206">
        <f>Data!AG51/T$2*100000</f>
        <v>84.384794663666312</v>
      </c>
      <c r="U48" s="206">
        <f>Data!AH51/U$2*100000</f>
        <v>104.84240875434114</v>
      </c>
      <c r="V48" s="206">
        <f>Data!D51/V$2*100000</f>
        <v>12.78091861170822</v>
      </c>
      <c r="W48" s="182"/>
    </row>
    <row r="49" spans="1:23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</row>
    <row r="50" spans="1:23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</row>
    <row r="51" spans="1:23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</row>
  </sheetData>
  <mergeCells count="4">
    <mergeCell ref="B5:B6"/>
    <mergeCell ref="C5:C6"/>
    <mergeCell ref="D5:U5"/>
    <mergeCell ref="V5:V6"/>
  </mergeCells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5"/>
  </sheetPr>
  <dimension ref="A1:AJ55"/>
  <sheetViews>
    <sheetView workbookViewId="0"/>
  </sheetViews>
  <sheetFormatPr defaultRowHeight="11.25"/>
  <cols>
    <col min="1" max="1" width="1.7109375" style="183" customWidth="1"/>
    <col min="2" max="2" width="28.7109375" style="183" customWidth="1"/>
    <col min="3" max="3" width="23.7109375" style="183" customWidth="1"/>
    <col min="4" max="16" width="6" style="183" customWidth="1"/>
    <col min="17" max="21" width="6.28515625" style="183" customWidth="1"/>
    <col min="22" max="22" width="7.28515625" style="183" customWidth="1"/>
    <col min="23" max="30" width="0.85546875" style="183" customWidth="1"/>
    <col min="31" max="16384" width="9.140625" style="183"/>
  </cols>
  <sheetData>
    <row r="1" spans="1:36" ht="15">
      <c r="A1" s="192"/>
      <c r="B1" s="434" t="s">
        <v>405</v>
      </c>
      <c r="C1" s="435"/>
      <c r="D1" s="434" t="s">
        <v>405</v>
      </c>
      <c r="E1" s="435"/>
      <c r="F1" s="434" t="s">
        <v>405</v>
      </c>
      <c r="G1" s="435"/>
      <c r="H1" s="434" t="s">
        <v>405</v>
      </c>
      <c r="I1" s="435"/>
      <c r="J1" s="434" t="s">
        <v>405</v>
      </c>
      <c r="K1" s="435"/>
      <c r="L1" s="434" t="s">
        <v>405</v>
      </c>
      <c r="M1" s="435"/>
      <c r="N1" s="434" t="s">
        <v>405</v>
      </c>
      <c r="O1" s="435"/>
      <c r="P1" s="434" t="s">
        <v>405</v>
      </c>
      <c r="Q1" s="435"/>
      <c r="R1" s="434" t="s">
        <v>405</v>
      </c>
      <c r="S1" s="435"/>
      <c r="T1" s="434" t="s">
        <v>405</v>
      </c>
      <c r="U1" s="435"/>
      <c r="V1" s="434" t="s">
        <v>405</v>
      </c>
      <c r="W1" s="437"/>
      <c r="X1" s="438" t="s">
        <v>405</v>
      </c>
      <c r="Y1" s="437"/>
      <c r="Z1" s="438" t="s">
        <v>405</v>
      </c>
      <c r="AA1" s="437"/>
      <c r="AB1" s="438" t="s">
        <v>405</v>
      </c>
      <c r="AC1" s="437"/>
      <c r="AD1" s="438" t="s">
        <v>405</v>
      </c>
      <c r="AE1" s="437"/>
      <c r="AF1" s="438" t="s">
        <v>405</v>
      </c>
      <c r="AG1" s="437"/>
      <c r="AH1" s="437"/>
      <c r="AI1" s="437"/>
      <c r="AJ1" s="437"/>
    </row>
    <row r="2" spans="1:36" ht="12.75">
      <c r="A2" s="192"/>
      <c r="B2" s="193"/>
      <c r="C2" s="194"/>
      <c r="D2" s="436">
        <f>Lent02m!S4</f>
        <v>73573</v>
      </c>
      <c r="E2" s="436">
        <f>Lent02m!T4</f>
        <v>68112</v>
      </c>
      <c r="F2" s="436">
        <f>Lent02m!U4</f>
        <v>65394</v>
      </c>
      <c r="G2" s="436">
        <f>Lent02m!V4</f>
        <v>80822</v>
      </c>
      <c r="H2" s="436">
        <f>Lent02m!W4</f>
        <v>98060</v>
      </c>
      <c r="I2" s="436">
        <f>Lent02m!X4</f>
        <v>95144</v>
      </c>
      <c r="J2" s="436">
        <f>Lent02m!Y4</f>
        <v>87782</v>
      </c>
      <c r="K2" s="436">
        <f>Lent02m!Z4</f>
        <v>89193</v>
      </c>
      <c r="L2" s="436">
        <f>Lent02m!AA4</f>
        <v>102361</v>
      </c>
      <c r="M2" s="436">
        <f>Lent02m!AB4</f>
        <v>108831</v>
      </c>
      <c r="N2" s="436">
        <f>Lent02m!AC4</f>
        <v>119456</v>
      </c>
      <c r="O2" s="436">
        <f>Lent02m!AD4</f>
        <v>116878</v>
      </c>
      <c r="P2" s="436">
        <f>Lent02m!AE4</f>
        <v>97783</v>
      </c>
      <c r="Q2" s="436">
        <f>Lent02m!AF4</f>
        <v>88018</v>
      </c>
      <c r="R2" s="436">
        <f>Lent02m!AG4</f>
        <v>84213</v>
      </c>
      <c r="S2" s="436">
        <f>Lent02m!AH4</f>
        <v>81014</v>
      </c>
      <c r="T2" s="436">
        <f>Lent02m!AI4</f>
        <v>61046</v>
      </c>
      <c r="U2" s="436">
        <f>Lent02m!AJ4</f>
        <v>49298</v>
      </c>
      <c r="V2" s="436">
        <f>SUM(D2:U2)</f>
        <v>1566978</v>
      </c>
      <c r="W2" s="192"/>
    </row>
    <row r="3" spans="1:36" ht="12.75">
      <c r="A3" s="192"/>
      <c r="B3" s="194" t="str">
        <f>"Sergamumo piktybiniais navikais rodiklis pagal amžių  " &amp; GrafikaiSerg!A1 &amp; " metais. Moterys. (100 000 gyventojų)"</f>
        <v>Sergamumo piktybiniais navikais rodiklis pagal amžių  2015 metais. Moterys. (100 000 gyventojų)</v>
      </c>
      <c r="C3" s="193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</row>
    <row r="4" spans="1:36" ht="12.75">
      <c r="A4" s="192"/>
      <c r="B4" s="193"/>
      <c r="C4" s="193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2"/>
    </row>
    <row r="5" spans="1:36" ht="12" customHeight="1">
      <c r="A5" s="192"/>
      <c r="B5" s="536" t="s">
        <v>243</v>
      </c>
      <c r="C5" s="536" t="s">
        <v>244</v>
      </c>
      <c r="D5" s="538" t="s">
        <v>419</v>
      </c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40"/>
      <c r="V5" s="541" t="s">
        <v>427</v>
      </c>
      <c r="W5" s="192"/>
    </row>
    <row r="6" spans="1:36" ht="12" customHeight="1" thickBot="1">
      <c r="A6" s="192"/>
      <c r="B6" s="537"/>
      <c r="C6" s="537"/>
      <c r="D6" s="199" t="s">
        <v>13</v>
      </c>
      <c r="E6" s="199" t="s">
        <v>11</v>
      </c>
      <c r="F6" s="199" t="s">
        <v>12</v>
      </c>
      <c r="G6" s="199" t="s">
        <v>14</v>
      </c>
      <c r="H6" s="199" t="s">
        <v>15</v>
      </c>
      <c r="I6" s="199" t="s">
        <v>16</v>
      </c>
      <c r="J6" s="199" t="s">
        <v>158</v>
      </c>
      <c r="K6" s="199" t="s">
        <v>17</v>
      </c>
      <c r="L6" s="199" t="s">
        <v>18</v>
      </c>
      <c r="M6" s="199" t="s">
        <v>19</v>
      </c>
      <c r="N6" s="199" t="s">
        <v>20</v>
      </c>
      <c r="O6" s="199" t="s">
        <v>21</v>
      </c>
      <c r="P6" s="199" t="s">
        <v>159</v>
      </c>
      <c r="Q6" s="199" t="s">
        <v>160</v>
      </c>
      <c r="R6" s="199" t="s">
        <v>161</v>
      </c>
      <c r="S6" s="199" t="s">
        <v>162</v>
      </c>
      <c r="T6" s="199" t="s">
        <v>22</v>
      </c>
      <c r="U6" s="199" t="s">
        <v>23</v>
      </c>
      <c r="V6" s="542"/>
      <c r="W6" s="192"/>
    </row>
    <row r="7" spans="1:36" ht="12" customHeight="1" thickTop="1">
      <c r="A7" s="192"/>
      <c r="B7" s="187" t="str">
        <f>UPPER(LEFT(TRIM(Data!B5),1)) &amp; MID(TRIM(Data!B5),2,50)</f>
        <v>Piktybiniai navikai</v>
      </c>
      <c r="C7" s="188" t="str">
        <f>Data!C5</f>
        <v>C00-C96</v>
      </c>
      <c r="D7" s="209">
        <f>Data!CD5/D$2*100000</f>
        <v>10.873554157095674</v>
      </c>
      <c r="E7" s="209">
        <f>Data!CE5/E$2*100000</f>
        <v>19.086210946676065</v>
      </c>
      <c r="F7" s="209">
        <f>Data!CF5/F$2*100000</f>
        <v>10.704345964461572</v>
      </c>
      <c r="G7" s="209">
        <f>Data!CG5/G$2*100000</f>
        <v>23.508450669372202</v>
      </c>
      <c r="H7" s="209">
        <f>Data!CH5/H$2*100000</f>
        <v>31.613297980828062</v>
      </c>
      <c r="I7" s="209">
        <f>Data!CI5/I$2*100000</f>
        <v>63.0623055578912</v>
      </c>
      <c r="J7" s="209">
        <f>Data!CJ5/J$2*100000</f>
        <v>116.1969424255542</v>
      </c>
      <c r="K7" s="209">
        <f>Data!CK5/K$2*100000</f>
        <v>192.84024531073067</v>
      </c>
      <c r="L7" s="209">
        <f>Data!CL5/L$2*100000</f>
        <v>272.56474633893765</v>
      </c>
      <c r="M7" s="209">
        <f>Data!CM5/M$2*100000</f>
        <v>391.43258814124653</v>
      </c>
      <c r="N7" s="209">
        <f>Data!CN5/N$2*100000</f>
        <v>578.4556656844361</v>
      </c>
      <c r="O7" s="209">
        <f>Data!CO5/O$2*100000</f>
        <v>700.73067643183492</v>
      </c>
      <c r="P7" s="209">
        <f>Data!CP5/P$2*100000</f>
        <v>897.90658907990144</v>
      </c>
      <c r="Q7" s="209">
        <f>Data!CQ5/Q$2*100000</f>
        <v>1120.225408439183</v>
      </c>
      <c r="R7" s="209">
        <f>Data!CR5/R$2*100000</f>
        <v>1244.4634438863359</v>
      </c>
      <c r="S7" s="209">
        <f>Data!CS5/S$2*100000</f>
        <v>1393.5862937270101</v>
      </c>
      <c r="T7" s="209">
        <f>Data!CT5/T$2*100000</f>
        <v>1566.032172460112</v>
      </c>
      <c r="U7" s="209">
        <f>Data!CU5/U$2*100000</f>
        <v>1551.7870907541887</v>
      </c>
      <c r="V7" s="209">
        <f>Data!BQ5/V$2*100000</f>
        <v>535.36169620760472</v>
      </c>
      <c r="W7" s="192"/>
    </row>
    <row r="8" spans="1:36" ht="12" customHeight="1">
      <c r="A8" s="192"/>
      <c r="B8" s="201" t="str">
        <f>UPPER(LEFT(TRIM(Data!B6),1)) &amp; MID(TRIM(Data!B6),2,50)</f>
        <v>Lūpos</v>
      </c>
      <c r="C8" s="202" t="str">
        <f>Data!C6</f>
        <v>C00</v>
      </c>
      <c r="D8" s="207">
        <f>Data!CD6/D$2*100000</f>
        <v>0</v>
      </c>
      <c r="E8" s="207">
        <f>Data!CE6/E$2*100000</f>
        <v>0</v>
      </c>
      <c r="F8" s="207">
        <f>Data!CF6/F$2*100000</f>
        <v>0</v>
      </c>
      <c r="G8" s="207">
        <f>Data!CG6/G$2*100000</f>
        <v>0</v>
      </c>
      <c r="H8" s="207">
        <f>Data!CH6/H$2*100000</f>
        <v>0</v>
      </c>
      <c r="I8" s="207">
        <f>Data!CI6/I$2*100000</f>
        <v>0</v>
      </c>
      <c r="J8" s="207">
        <f>Data!CJ6/J$2*100000</f>
        <v>0</v>
      </c>
      <c r="K8" s="207">
        <f>Data!CK6/K$2*100000</f>
        <v>0</v>
      </c>
      <c r="L8" s="207">
        <f>Data!CL6/L$2*100000</f>
        <v>0</v>
      </c>
      <c r="M8" s="207">
        <f>Data!CM6/M$2*100000</f>
        <v>0</v>
      </c>
      <c r="N8" s="207">
        <f>Data!CN6/N$2*100000</f>
        <v>0</v>
      </c>
      <c r="O8" s="207">
        <f>Data!CO6/O$2*100000</f>
        <v>0</v>
      </c>
      <c r="P8" s="207">
        <f>Data!CP6/P$2*100000</f>
        <v>0</v>
      </c>
      <c r="Q8" s="207">
        <f>Data!CQ6/Q$2*100000</f>
        <v>0</v>
      </c>
      <c r="R8" s="207">
        <f>Data!CR6/R$2*100000</f>
        <v>2.374930236424305</v>
      </c>
      <c r="S8" s="207">
        <f>Data!CS6/S$2*100000</f>
        <v>2.4687091120053326</v>
      </c>
      <c r="T8" s="207">
        <f>Data!CT6/T$2*100000</f>
        <v>0</v>
      </c>
      <c r="U8" s="207">
        <f>Data!CU6/U$2*100000</f>
        <v>8.113919428780072</v>
      </c>
      <c r="V8" s="207">
        <f>Data!BQ6/V$2*100000</f>
        <v>0.51053684225305007</v>
      </c>
      <c r="W8" s="192"/>
    </row>
    <row r="9" spans="1:36" ht="12" customHeight="1">
      <c r="A9" s="192"/>
      <c r="B9" s="187" t="str">
        <f>UPPER(LEFT(TRIM(Data!B7),1)) &amp; MID(TRIM(Data!B7),2,50)</f>
        <v>Burnos ertmės ir ryklės</v>
      </c>
      <c r="C9" s="188" t="str">
        <f>Data!C7</f>
        <v>C01-C14</v>
      </c>
      <c r="D9" s="209">
        <f>Data!CD7/D$2*100000</f>
        <v>0</v>
      </c>
      <c r="E9" s="209">
        <f>Data!CE7/E$2*100000</f>
        <v>0</v>
      </c>
      <c r="F9" s="209">
        <f>Data!CF7/F$2*100000</f>
        <v>0</v>
      </c>
      <c r="G9" s="209">
        <f>Data!CG7/G$2*100000</f>
        <v>0</v>
      </c>
      <c r="H9" s="209">
        <f>Data!CH7/H$2*100000</f>
        <v>0</v>
      </c>
      <c r="I9" s="209">
        <f>Data!CI7/I$2*100000</f>
        <v>1.0510384259648533</v>
      </c>
      <c r="J9" s="209">
        <f>Data!CJ7/J$2*100000</f>
        <v>1.1391857100544531</v>
      </c>
      <c r="K9" s="209">
        <f>Data!CK7/K$2*100000</f>
        <v>2.2423284338457052</v>
      </c>
      <c r="L9" s="209">
        <f>Data!CL7/L$2*100000</f>
        <v>0.976934574691533</v>
      </c>
      <c r="M9" s="209">
        <f>Data!CM7/M$2*100000</f>
        <v>7.3508467256572114</v>
      </c>
      <c r="N9" s="209">
        <f>Data!CN7/N$2*100000</f>
        <v>5.8598982051968926</v>
      </c>
      <c r="O9" s="209">
        <f>Data!CO7/O$2*100000</f>
        <v>12.83389517274423</v>
      </c>
      <c r="P9" s="209">
        <f>Data!CP7/P$2*100000</f>
        <v>10.226726527105939</v>
      </c>
      <c r="Q9" s="209">
        <f>Data!CQ7/Q$2*100000</f>
        <v>10.225181212933718</v>
      </c>
      <c r="R9" s="209">
        <f>Data!CR7/R$2*100000</f>
        <v>13.062116300333678</v>
      </c>
      <c r="S9" s="209">
        <f>Data!CS7/S$2*100000</f>
        <v>6.171772780013332</v>
      </c>
      <c r="T9" s="209">
        <f>Data!CT7/T$2*100000</f>
        <v>6.5524358680339425</v>
      </c>
      <c r="U9" s="209">
        <f>Data!CU7/U$2*100000</f>
        <v>14.199359000365128</v>
      </c>
      <c r="V9" s="209">
        <f>Data!BQ7/V$2*100000</f>
        <v>5.1691855278121324</v>
      </c>
      <c r="W9" s="192"/>
    </row>
    <row r="10" spans="1:36" ht="12" customHeight="1">
      <c r="A10" s="192"/>
      <c r="B10" s="201" t="str">
        <f>UPPER(LEFT(TRIM(Data!B8),1)) &amp; MID(TRIM(Data!B8),2,50)</f>
        <v>Stemplės</v>
      </c>
      <c r="C10" s="202" t="str">
        <f>Data!C8</f>
        <v>C15</v>
      </c>
      <c r="D10" s="207">
        <f>Data!CD8/D$2*100000</f>
        <v>0</v>
      </c>
      <c r="E10" s="207">
        <f>Data!CE8/E$2*100000</f>
        <v>0</v>
      </c>
      <c r="F10" s="207">
        <f>Data!CF8/F$2*100000</f>
        <v>0</v>
      </c>
      <c r="G10" s="207">
        <f>Data!CG8/G$2*100000</f>
        <v>0</v>
      </c>
      <c r="H10" s="207">
        <f>Data!CH8/H$2*100000</f>
        <v>1.0197838058331634</v>
      </c>
      <c r="I10" s="207">
        <f>Data!CI8/I$2*100000</f>
        <v>0</v>
      </c>
      <c r="J10" s="207">
        <f>Data!CJ8/J$2*100000</f>
        <v>0</v>
      </c>
      <c r="K10" s="207">
        <f>Data!CK8/K$2*100000</f>
        <v>0</v>
      </c>
      <c r="L10" s="207">
        <f>Data!CL8/L$2*100000</f>
        <v>0.976934574691533</v>
      </c>
      <c r="M10" s="207">
        <f>Data!CM8/M$2*100000</f>
        <v>0</v>
      </c>
      <c r="N10" s="207">
        <f>Data!CN8/N$2*100000</f>
        <v>2.5113849450843824</v>
      </c>
      <c r="O10" s="207">
        <f>Data!CO8/O$2*100000</f>
        <v>5.9891510806139738</v>
      </c>
      <c r="P10" s="207">
        <f>Data!CP8/P$2*100000</f>
        <v>5.1133632635529693</v>
      </c>
      <c r="Q10" s="207">
        <f>Data!CQ8/Q$2*100000</f>
        <v>3.4083937376445732</v>
      </c>
      <c r="R10" s="207">
        <f>Data!CR8/R$2*100000</f>
        <v>5.9373255910607625</v>
      </c>
      <c r="S10" s="207">
        <f>Data!CS8/S$2*100000</f>
        <v>1.2343545560026663</v>
      </c>
      <c r="T10" s="207">
        <f>Data!CT8/T$2*100000</f>
        <v>8.1905448350424273</v>
      </c>
      <c r="U10" s="207">
        <f>Data!CU8/U$2*100000</f>
        <v>12.170879143170108</v>
      </c>
      <c r="V10" s="207">
        <f>Data!BQ8/V$2*100000</f>
        <v>2.3612328954203567</v>
      </c>
      <c r="W10" s="192"/>
    </row>
    <row r="11" spans="1:36" ht="12" customHeight="1">
      <c r="A11" s="192"/>
      <c r="B11" s="187" t="str">
        <f>UPPER(LEFT(TRIM(Data!B9),1)) &amp; MID(TRIM(Data!B9),2,50)</f>
        <v>Skrandžio</v>
      </c>
      <c r="C11" s="188" t="str">
        <f>Data!C9</f>
        <v>C16</v>
      </c>
      <c r="D11" s="209">
        <f>Data!CD9/D$2*100000</f>
        <v>0</v>
      </c>
      <c r="E11" s="209">
        <f>Data!CE9/E$2*100000</f>
        <v>0</v>
      </c>
      <c r="F11" s="209">
        <f>Data!CF9/F$2*100000</f>
        <v>0</v>
      </c>
      <c r="G11" s="209">
        <f>Data!CG9/G$2*100000</f>
        <v>0</v>
      </c>
      <c r="H11" s="209">
        <f>Data!CH9/H$2*100000</f>
        <v>0</v>
      </c>
      <c r="I11" s="209">
        <f>Data!CI9/I$2*100000</f>
        <v>1.0510384259648533</v>
      </c>
      <c r="J11" s="209">
        <f>Data!CJ9/J$2*100000</f>
        <v>2.2783714201089063</v>
      </c>
      <c r="K11" s="209">
        <f>Data!CK9/K$2*100000</f>
        <v>6.7269853015371153</v>
      </c>
      <c r="L11" s="209">
        <f>Data!CL9/L$2*100000</f>
        <v>4.8846728734576645</v>
      </c>
      <c r="M11" s="209">
        <f>Data!CM9/M$2*100000</f>
        <v>7.3508467256572114</v>
      </c>
      <c r="N11" s="209">
        <f>Data!CN9/N$2*100000</f>
        <v>13.394053040450041</v>
      </c>
      <c r="O11" s="209">
        <f>Data!CO9/O$2*100000</f>
        <v>21.389825287907048</v>
      </c>
      <c r="P11" s="209">
        <f>Data!CP9/P$2*100000</f>
        <v>33.748197539449599</v>
      </c>
      <c r="Q11" s="209">
        <f>Data!CQ9/Q$2*100000</f>
        <v>30.675543638801152</v>
      </c>
      <c r="R11" s="209">
        <f>Data!CR9/R$2*100000</f>
        <v>47.4986047284861</v>
      </c>
      <c r="S11" s="209">
        <f>Data!CS9/S$2*100000</f>
        <v>61.717727800133311</v>
      </c>
      <c r="T11" s="209">
        <f>Data!CT9/T$2*100000</f>
        <v>91.734102152475188</v>
      </c>
      <c r="U11" s="209">
        <f>Data!CU9/U$2*100000</f>
        <v>93.310073430970832</v>
      </c>
      <c r="V11" s="209">
        <f>Data!BQ9/V$2*100000</f>
        <v>20.102388163713851</v>
      </c>
      <c r="W11" s="192"/>
    </row>
    <row r="12" spans="1:36" ht="12" customHeight="1">
      <c r="A12" s="192"/>
      <c r="B12" s="201" t="str">
        <f>UPPER(LEFT(TRIM(Data!B10),1)) &amp; MID(TRIM(Data!B10),2,50)</f>
        <v>Gaubtinės žarnos</v>
      </c>
      <c r="C12" s="202" t="str">
        <f>Data!C10</f>
        <v>C18</v>
      </c>
      <c r="D12" s="207">
        <f>Data!CD10/D$2*100000</f>
        <v>0</v>
      </c>
      <c r="E12" s="207">
        <f>Data!CE10/E$2*100000</f>
        <v>0</v>
      </c>
      <c r="F12" s="207">
        <f>Data!CF10/F$2*100000</f>
        <v>0</v>
      </c>
      <c r="G12" s="207">
        <f>Data!CG10/G$2*100000</f>
        <v>0</v>
      </c>
      <c r="H12" s="207">
        <f>Data!CH10/H$2*100000</f>
        <v>0</v>
      </c>
      <c r="I12" s="207">
        <f>Data!CI10/I$2*100000</f>
        <v>0</v>
      </c>
      <c r="J12" s="207">
        <f>Data!CJ10/J$2*100000</f>
        <v>1.1391857100544531</v>
      </c>
      <c r="K12" s="207">
        <f>Data!CK10/K$2*100000</f>
        <v>3.3634926507685576</v>
      </c>
      <c r="L12" s="207">
        <f>Data!CL10/L$2*100000</f>
        <v>2.9308037240745985</v>
      </c>
      <c r="M12" s="207">
        <f>Data!CM10/M$2*100000</f>
        <v>7.3508467256572114</v>
      </c>
      <c r="N12" s="207">
        <f>Data!CN10/N$2*100000</f>
        <v>19.253951245646935</v>
      </c>
      <c r="O12" s="207">
        <f>Data!CO10/O$2*100000</f>
        <v>32.512534437618712</v>
      </c>
      <c r="P12" s="207">
        <f>Data!CP10/P$2*100000</f>
        <v>42.952251413844941</v>
      </c>
      <c r="Q12" s="207">
        <f>Data!CQ10/Q$2*100000</f>
        <v>68.16787475289145</v>
      </c>
      <c r="R12" s="207">
        <f>Data!CR10/R$2*100000</f>
        <v>81.93509315663853</v>
      </c>
      <c r="S12" s="207">
        <f>Data!CS10/S$2*100000</f>
        <v>81.467400696175972</v>
      </c>
      <c r="T12" s="207">
        <f>Data!CT10/T$2*100000</f>
        <v>132.6868263276873</v>
      </c>
      <c r="U12" s="207">
        <f>Data!CU10/U$2*100000</f>
        <v>121.70879143170109</v>
      </c>
      <c r="V12" s="207">
        <f>Data!BQ10/V$2*100000</f>
        <v>28.972965797860596</v>
      </c>
      <c r="W12" s="192"/>
    </row>
    <row r="13" spans="1:36" ht="12" customHeight="1">
      <c r="A13" s="192"/>
      <c r="B13" s="187" t="str">
        <f>UPPER(LEFT(TRIM(Data!B11),1)) &amp; MID(TRIM(Data!B11),2,50)</f>
        <v>Tiesiosios žarnos, išangės</v>
      </c>
      <c r="C13" s="188" t="str">
        <f>Data!C11</f>
        <v>C19-C21</v>
      </c>
      <c r="D13" s="209">
        <f>Data!CD11/D$2*100000</f>
        <v>0</v>
      </c>
      <c r="E13" s="209">
        <f>Data!CE11/E$2*100000</f>
        <v>0</v>
      </c>
      <c r="F13" s="209">
        <f>Data!CF11/F$2*100000</f>
        <v>0</v>
      </c>
      <c r="G13" s="209">
        <f>Data!CG11/G$2*100000</f>
        <v>0</v>
      </c>
      <c r="H13" s="209">
        <f>Data!CH11/H$2*100000</f>
        <v>0</v>
      </c>
      <c r="I13" s="209">
        <f>Data!CI11/I$2*100000</f>
        <v>1.0510384259648533</v>
      </c>
      <c r="J13" s="209">
        <f>Data!CJ11/J$2*100000</f>
        <v>3.4175571301633596</v>
      </c>
      <c r="K13" s="209">
        <f>Data!CK11/K$2*100000</f>
        <v>2.2423284338457052</v>
      </c>
      <c r="L13" s="209">
        <f>Data!CL11/L$2*100000</f>
        <v>0.976934574691533</v>
      </c>
      <c r="M13" s="209">
        <f>Data!CM11/M$2*100000</f>
        <v>11.945125929192969</v>
      </c>
      <c r="N13" s="209">
        <f>Data!CN11/N$2*100000</f>
        <v>14.231181355478167</v>
      </c>
      <c r="O13" s="209">
        <f>Data!CO11/O$2*100000</f>
        <v>21.389825287907048</v>
      </c>
      <c r="P13" s="209">
        <f>Data!CP11/P$2*100000</f>
        <v>33.748197539449599</v>
      </c>
      <c r="Q13" s="209">
        <f>Data!CQ11/Q$2*100000</f>
        <v>46.581381081142496</v>
      </c>
      <c r="R13" s="209">
        <f>Data!CR11/R$2*100000</f>
        <v>37.99888378278888</v>
      </c>
      <c r="S13" s="209">
        <f>Data!CS11/S$2*100000</f>
        <v>51.842891352111977</v>
      </c>
      <c r="T13" s="209">
        <f>Data!CT11/T$2*100000</f>
        <v>58.971922812305479</v>
      </c>
      <c r="U13" s="209">
        <f>Data!CU11/U$2*100000</f>
        <v>64.911355430240576</v>
      </c>
      <c r="V13" s="209">
        <f>Data!BQ11/V$2*100000</f>
        <v>17.74115526829349</v>
      </c>
      <c r="W13" s="192"/>
    </row>
    <row r="14" spans="1:36" ht="12" customHeight="1">
      <c r="A14" s="192"/>
      <c r="B14" s="201" t="str">
        <f>UPPER(LEFT(TRIM(Data!B12),1)) &amp; MID(TRIM(Data!B12),2,50)</f>
        <v>Kepenų</v>
      </c>
      <c r="C14" s="202" t="str">
        <f>Data!C12</f>
        <v>C22</v>
      </c>
      <c r="D14" s="207">
        <f>Data!CD12/D$2*100000</f>
        <v>0</v>
      </c>
      <c r="E14" s="207">
        <f>Data!CE12/E$2*100000</f>
        <v>0</v>
      </c>
      <c r="F14" s="207">
        <f>Data!CF12/F$2*100000</f>
        <v>0</v>
      </c>
      <c r="G14" s="207">
        <f>Data!CG12/G$2*100000</f>
        <v>0</v>
      </c>
      <c r="H14" s="207">
        <f>Data!CH12/H$2*100000</f>
        <v>1.0197838058331634</v>
      </c>
      <c r="I14" s="207">
        <f>Data!CI12/I$2*100000</f>
        <v>0</v>
      </c>
      <c r="J14" s="207">
        <f>Data!CJ12/J$2*100000</f>
        <v>0</v>
      </c>
      <c r="K14" s="207">
        <f>Data!CK12/K$2*100000</f>
        <v>0</v>
      </c>
      <c r="L14" s="207">
        <f>Data!CL12/L$2*100000</f>
        <v>0.976934574691533</v>
      </c>
      <c r="M14" s="207">
        <f>Data!CM12/M$2*100000</f>
        <v>3.6754233628286057</v>
      </c>
      <c r="N14" s="207">
        <f>Data!CN12/N$2*100000</f>
        <v>5.0227698901687647</v>
      </c>
      <c r="O14" s="207">
        <f>Data!CO12/O$2*100000</f>
        <v>6.8447440921302549</v>
      </c>
      <c r="P14" s="207">
        <f>Data!CP12/P$2*100000</f>
        <v>6.1360359162635634</v>
      </c>
      <c r="Q14" s="207">
        <f>Data!CQ12/Q$2*100000</f>
        <v>17.041968688222862</v>
      </c>
      <c r="R14" s="207">
        <f>Data!CR12/R$2*100000</f>
        <v>15.437046536757984</v>
      </c>
      <c r="S14" s="207">
        <f>Data!CS12/S$2*100000</f>
        <v>18.515318340039993</v>
      </c>
      <c r="T14" s="207">
        <f>Data!CT12/T$2*100000</f>
        <v>27.847852439144251</v>
      </c>
      <c r="U14" s="207">
        <f>Data!CU12/U$2*100000</f>
        <v>24.341758286340216</v>
      </c>
      <c r="V14" s="207">
        <f>Data!BQ12/V$2*100000</f>
        <v>6.2540763175998642</v>
      </c>
      <c r="W14" s="192"/>
    </row>
    <row r="15" spans="1:36" ht="12" customHeight="1">
      <c r="A15" s="192"/>
      <c r="B15" s="187" t="str">
        <f>UPPER(LEFT(TRIM(Data!B13),1)) &amp; MID(TRIM(Data!B13),2,50)</f>
        <v>Tulžies pūslės, ekstrahepatinių takų</v>
      </c>
      <c r="C15" s="188" t="str">
        <f>Data!C13</f>
        <v>C23, C24</v>
      </c>
      <c r="D15" s="209">
        <f>Data!CD13/D$2*100000</f>
        <v>0</v>
      </c>
      <c r="E15" s="209">
        <f>Data!CE13/E$2*100000</f>
        <v>0</v>
      </c>
      <c r="F15" s="209">
        <f>Data!CF13/F$2*100000</f>
        <v>0</v>
      </c>
      <c r="G15" s="209">
        <f>Data!CG13/G$2*100000</f>
        <v>0</v>
      </c>
      <c r="H15" s="209">
        <f>Data!CH13/H$2*100000</f>
        <v>0</v>
      </c>
      <c r="I15" s="209">
        <f>Data!CI13/I$2*100000</f>
        <v>0</v>
      </c>
      <c r="J15" s="209">
        <f>Data!CJ13/J$2*100000</f>
        <v>0</v>
      </c>
      <c r="K15" s="209">
        <f>Data!CK13/K$2*100000</f>
        <v>0</v>
      </c>
      <c r="L15" s="209">
        <f>Data!CL13/L$2*100000</f>
        <v>0</v>
      </c>
      <c r="M15" s="209">
        <f>Data!CM13/M$2*100000</f>
        <v>2.7565675221214545</v>
      </c>
      <c r="N15" s="209">
        <f>Data!CN13/N$2*100000</f>
        <v>1.6742566300562551</v>
      </c>
      <c r="O15" s="209">
        <f>Data!CO13/O$2*100000</f>
        <v>2.5667790345488455</v>
      </c>
      <c r="P15" s="209">
        <f>Data!CP13/P$2*100000</f>
        <v>5.1133632635529693</v>
      </c>
      <c r="Q15" s="209">
        <f>Data!CQ13/Q$2*100000</f>
        <v>9.089049967052194</v>
      </c>
      <c r="R15" s="209">
        <f>Data!CR13/R$2*100000</f>
        <v>15.437046536757984</v>
      </c>
      <c r="S15" s="209">
        <f>Data!CS13/S$2*100000</f>
        <v>16.046609228034661</v>
      </c>
      <c r="T15" s="209">
        <f>Data!CT13/T$2*100000</f>
        <v>18.019198637093339</v>
      </c>
      <c r="U15" s="209">
        <f>Data!CU13/U$2*100000</f>
        <v>24.341758286340216</v>
      </c>
      <c r="V15" s="209">
        <f>Data!BQ13/V$2*100000</f>
        <v>4.4671973697141887</v>
      </c>
      <c r="W15" s="192"/>
    </row>
    <row r="16" spans="1:36" ht="12" customHeight="1">
      <c r="A16" s="192"/>
      <c r="B16" s="201" t="str">
        <f>UPPER(LEFT(TRIM(Data!B14),1)) &amp; MID(TRIM(Data!B14),2,50)</f>
        <v>Kasos</v>
      </c>
      <c r="C16" s="202" t="str">
        <f>Data!C14</f>
        <v>C25</v>
      </c>
      <c r="D16" s="207">
        <f>Data!CD14/D$2*100000</f>
        <v>0</v>
      </c>
      <c r="E16" s="207">
        <f>Data!CE14/E$2*100000</f>
        <v>0</v>
      </c>
      <c r="F16" s="207">
        <f>Data!CF14/F$2*100000</f>
        <v>0</v>
      </c>
      <c r="G16" s="207">
        <f>Data!CG14/G$2*100000</f>
        <v>0</v>
      </c>
      <c r="H16" s="207">
        <f>Data!CH14/H$2*100000</f>
        <v>1.0197838058331634</v>
      </c>
      <c r="I16" s="207">
        <f>Data!CI14/I$2*100000</f>
        <v>1.0510384259648533</v>
      </c>
      <c r="J16" s="207">
        <f>Data!CJ14/J$2*100000</f>
        <v>1.1391857100544531</v>
      </c>
      <c r="K16" s="207">
        <f>Data!CK14/K$2*100000</f>
        <v>0</v>
      </c>
      <c r="L16" s="207">
        <f>Data!CL14/L$2*100000</f>
        <v>0.976934574691533</v>
      </c>
      <c r="M16" s="207">
        <f>Data!CM14/M$2*100000</f>
        <v>2.7565675221214545</v>
      </c>
      <c r="N16" s="207">
        <f>Data!CN14/N$2*100000</f>
        <v>10.882668095365657</v>
      </c>
      <c r="O16" s="207">
        <f>Data!CO14/O$2*100000</f>
        <v>17.96745324184192</v>
      </c>
      <c r="P16" s="207">
        <f>Data!CP14/P$2*100000</f>
        <v>27.612161623186037</v>
      </c>
      <c r="Q16" s="207">
        <f>Data!CQ14/Q$2*100000</f>
        <v>44.309118589379445</v>
      </c>
      <c r="R16" s="207">
        <f>Data!CR14/R$2*100000</f>
        <v>48.686069846698253</v>
      </c>
      <c r="S16" s="207">
        <f>Data!CS14/S$2*100000</f>
        <v>65.420791468141303</v>
      </c>
      <c r="T16" s="207">
        <f>Data!CT14/T$2*100000</f>
        <v>75.353012482390326</v>
      </c>
      <c r="U16" s="207">
        <f>Data!CU14/U$2*100000</f>
        <v>81.13919428780072</v>
      </c>
      <c r="V16" s="207">
        <f>Data!BQ14/V$2*100000</f>
        <v>18.315509215828175</v>
      </c>
      <c r="W16" s="192"/>
    </row>
    <row r="17" spans="1:23" ht="12" customHeight="1">
      <c r="A17" s="192"/>
      <c r="B17" s="187" t="str">
        <f>UPPER(LEFT(TRIM(Data!B15),1)) &amp; MID(TRIM(Data!B15),2,50)</f>
        <v>Kitų virškinimo sistemos organų</v>
      </c>
      <c r="C17" s="188" t="str">
        <f>Data!C15</f>
        <v>C17, C26, C48</v>
      </c>
      <c r="D17" s="209">
        <f>Data!CD15/D$2*100000</f>
        <v>0</v>
      </c>
      <c r="E17" s="209">
        <f>Data!CE15/E$2*100000</f>
        <v>0</v>
      </c>
      <c r="F17" s="209">
        <f>Data!CF15/F$2*100000</f>
        <v>0</v>
      </c>
      <c r="G17" s="209">
        <f>Data!CG15/G$2*100000</f>
        <v>0</v>
      </c>
      <c r="H17" s="209">
        <f>Data!CH15/H$2*100000</f>
        <v>0</v>
      </c>
      <c r="I17" s="209">
        <f>Data!CI15/I$2*100000</f>
        <v>0</v>
      </c>
      <c r="J17" s="209">
        <f>Data!CJ15/J$2*100000</f>
        <v>0</v>
      </c>
      <c r="K17" s="209">
        <f>Data!CK15/K$2*100000</f>
        <v>1.1211642169228526</v>
      </c>
      <c r="L17" s="209">
        <f>Data!CL15/L$2*100000</f>
        <v>0.976934574691533</v>
      </c>
      <c r="M17" s="209">
        <f>Data!CM15/M$2*100000</f>
        <v>1.8377116814143029</v>
      </c>
      <c r="N17" s="209">
        <f>Data!CN15/N$2*100000</f>
        <v>3.3485132601125103</v>
      </c>
      <c r="O17" s="209">
        <f>Data!CO15/O$2*100000</f>
        <v>0</v>
      </c>
      <c r="P17" s="209">
        <f>Data!CP15/P$2*100000</f>
        <v>3.0680179581317817</v>
      </c>
      <c r="Q17" s="209">
        <f>Data!CQ15/Q$2*100000</f>
        <v>6.8167874752891464</v>
      </c>
      <c r="R17" s="209">
        <f>Data!CR15/R$2*100000</f>
        <v>2.374930236424305</v>
      </c>
      <c r="S17" s="209">
        <f>Data!CS15/S$2*100000</f>
        <v>9.8748364480213304</v>
      </c>
      <c r="T17" s="209">
        <f>Data!CT15/T$2*100000</f>
        <v>11.466762769059399</v>
      </c>
      <c r="U17" s="209">
        <f>Data!CU15/U$2*100000</f>
        <v>18.25631871475516</v>
      </c>
      <c r="V17" s="209">
        <f>Data!BQ15/V$2*100000</f>
        <v>2.7441355271101444</v>
      </c>
      <c r="W17" s="192"/>
    </row>
    <row r="18" spans="1:23" ht="12" customHeight="1">
      <c r="A18" s="192"/>
      <c r="B18" s="201" t="str">
        <f>UPPER(LEFT(TRIM(Data!B16),1)) &amp; MID(TRIM(Data!B16),2,50)</f>
        <v>Nosies ertmės, vid.ausies ir ančių</v>
      </c>
      <c r="C18" s="202" t="str">
        <f>Data!C16</f>
        <v>C30, C31</v>
      </c>
      <c r="D18" s="207">
        <f>Data!CD16/D$2*100000</f>
        <v>0</v>
      </c>
      <c r="E18" s="207">
        <f>Data!CE16/E$2*100000</f>
        <v>0</v>
      </c>
      <c r="F18" s="207">
        <f>Data!CF16/F$2*100000</f>
        <v>0</v>
      </c>
      <c r="G18" s="207">
        <f>Data!CG16/G$2*100000</f>
        <v>0</v>
      </c>
      <c r="H18" s="207">
        <f>Data!CH16/H$2*100000</f>
        <v>0</v>
      </c>
      <c r="I18" s="207">
        <f>Data!CI16/I$2*100000</f>
        <v>0</v>
      </c>
      <c r="J18" s="207">
        <f>Data!CJ16/J$2*100000</f>
        <v>0</v>
      </c>
      <c r="K18" s="207">
        <f>Data!CK16/K$2*100000</f>
        <v>0</v>
      </c>
      <c r="L18" s="207">
        <f>Data!CL16/L$2*100000</f>
        <v>0.976934574691533</v>
      </c>
      <c r="M18" s="207">
        <f>Data!CM16/M$2*100000</f>
        <v>0</v>
      </c>
      <c r="N18" s="207">
        <f>Data!CN16/N$2*100000</f>
        <v>0</v>
      </c>
      <c r="O18" s="207">
        <f>Data!CO16/O$2*100000</f>
        <v>0.85559301151628186</v>
      </c>
      <c r="P18" s="207">
        <f>Data!CP16/P$2*100000</f>
        <v>3.0680179581317817</v>
      </c>
      <c r="Q18" s="207">
        <f>Data!CQ16/Q$2*100000</f>
        <v>3.4083937376445732</v>
      </c>
      <c r="R18" s="207">
        <f>Data!CR16/R$2*100000</f>
        <v>1.1874651182121525</v>
      </c>
      <c r="S18" s="207">
        <f>Data!CS16/S$2*100000</f>
        <v>0</v>
      </c>
      <c r="T18" s="207">
        <f>Data!CT16/T$2*100000</f>
        <v>3.2762179340169713</v>
      </c>
      <c r="U18" s="207">
        <f>Data!CU16/U$2*100000</f>
        <v>2.028479857195018</v>
      </c>
      <c r="V18" s="207">
        <f>Data!BQ16/V$2*100000</f>
        <v>0.76580526337957533</v>
      </c>
      <c r="W18" s="192"/>
    </row>
    <row r="19" spans="1:23" ht="12" customHeight="1">
      <c r="A19" s="192"/>
      <c r="B19" s="187" t="str">
        <f>UPPER(LEFT(TRIM(Data!B17),1)) &amp; MID(TRIM(Data!B17),2,50)</f>
        <v>Gerklų</v>
      </c>
      <c r="C19" s="188" t="str">
        <f>Data!C17</f>
        <v>C32</v>
      </c>
      <c r="D19" s="209">
        <f>Data!CD17/D$2*100000</f>
        <v>0</v>
      </c>
      <c r="E19" s="209">
        <f>Data!CE17/E$2*100000</f>
        <v>0</v>
      </c>
      <c r="F19" s="209">
        <f>Data!CF17/F$2*100000</f>
        <v>0</v>
      </c>
      <c r="G19" s="209">
        <f>Data!CG17/G$2*100000</f>
        <v>0</v>
      </c>
      <c r="H19" s="209">
        <f>Data!CH17/H$2*100000</f>
        <v>1.0197838058331634</v>
      </c>
      <c r="I19" s="209">
        <f>Data!CI17/I$2*100000</f>
        <v>0</v>
      </c>
      <c r="J19" s="209">
        <f>Data!CJ17/J$2*100000</f>
        <v>0</v>
      </c>
      <c r="K19" s="209">
        <f>Data!CK17/K$2*100000</f>
        <v>0</v>
      </c>
      <c r="L19" s="209">
        <f>Data!CL17/L$2*100000</f>
        <v>0</v>
      </c>
      <c r="M19" s="209">
        <f>Data!CM17/M$2*100000</f>
        <v>0</v>
      </c>
      <c r="N19" s="209">
        <f>Data!CN17/N$2*100000</f>
        <v>0</v>
      </c>
      <c r="O19" s="209">
        <f>Data!CO17/O$2*100000</f>
        <v>1.7111860230325637</v>
      </c>
      <c r="P19" s="209">
        <f>Data!CP17/P$2*100000</f>
        <v>3.0680179581317817</v>
      </c>
      <c r="Q19" s="209">
        <f>Data!CQ17/Q$2*100000</f>
        <v>4.544524983526097</v>
      </c>
      <c r="R19" s="209">
        <f>Data!CR17/R$2*100000</f>
        <v>2.374930236424305</v>
      </c>
      <c r="S19" s="209">
        <f>Data!CS17/S$2*100000</f>
        <v>2.4687091120053326</v>
      </c>
      <c r="T19" s="209">
        <f>Data!CT17/T$2*100000</f>
        <v>0</v>
      </c>
      <c r="U19" s="209">
        <f>Data!CU17/U$2*100000</f>
        <v>2.028479857195018</v>
      </c>
      <c r="V19" s="209">
        <f>Data!BQ17/V$2*100000</f>
        <v>0.95725657922446905</v>
      </c>
      <c r="W19" s="192"/>
    </row>
    <row r="20" spans="1:23" ht="12" customHeight="1">
      <c r="A20" s="192"/>
      <c r="B20" s="201" t="str">
        <f>UPPER(LEFT(TRIM(Data!B18),1)) &amp; MID(TRIM(Data!B18),2,50)</f>
        <v>Plaučių, trachėjos, bronchų</v>
      </c>
      <c r="C20" s="202" t="str">
        <f>Data!C18</f>
        <v>C33, C34</v>
      </c>
      <c r="D20" s="207">
        <f>Data!CD18/D$2*100000</f>
        <v>0</v>
      </c>
      <c r="E20" s="207">
        <f>Data!CE18/E$2*100000</f>
        <v>0</v>
      </c>
      <c r="F20" s="207">
        <f>Data!CF18/F$2*100000</f>
        <v>0</v>
      </c>
      <c r="G20" s="207">
        <f>Data!CG18/G$2*100000</f>
        <v>0</v>
      </c>
      <c r="H20" s="207">
        <f>Data!CH18/H$2*100000</f>
        <v>0</v>
      </c>
      <c r="I20" s="207">
        <f>Data!CI18/I$2*100000</f>
        <v>2.1020768519297066</v>
      </c>
      <c r="J20" s="207">
        <f>Data!CJ18/J$2*100000</f>
        <v>1.1391857100544531</v>
      </c>
      <c r="K20" s="207">
        <f>Data!CK18/K$2*100000</f>
        <v>2.2423284338457052</v>
      </c>
      <c r="L20" s="207">
        <f>Data!CL18/L$2*100000</f>
        <v>4.8846728734576645</v>
      </c>
      <c r="M20" s="207">
        <f>Data!CM18/M$2*100000</f>
        <v>8.2697025663643622</v>
      </c>
      <c r="N20" s="207">
        <f>Data!CN18/N$2*100000</f>
        <v>12.556924725421913</v>
      </c>
      <c r="O20" s="207">
        <f>Data!CO18/O$2*100000</f>
        <v>23.956604322455895</v>
      </c>
      <c r="P20" s="207">
        <f>Data!CP18/P$2*100000</f>
        <v>35.793542844870785</v>
      </c>
      <c r="Q20" s="207">
        <f>Data!CQ18/Q$2*100000</f>
        <v>56.806562294076208</v>
      </c>
      <c r="R20" s="207">
        <f>Data!CR18/R$2*100000</f>
        <v>49.873534964910412</v>
      </c>
      <c r="S20" s="207">
        <f>Data!CS18/S$2*100000</f>
        <v>53.077245908114648</v>
      </c>
      <c r="T20" s="207">
        <f>Data!CT18/T$2*100000</f>
        <v>75.353012482390326</v>
      </c>
      <c r="U20" s="207">
        <f>Data!CU18/U$2*100000</f>
        <v>64.911355430240576</v>
      </c>
      <c r="V20" s="207">
        <f>Data!BQ18/V$2*100000</f>
        <v>19.783302637305695</v>
      </c>
      <c r="W20" s="192"/>
    </row>
    <row r="21" spans="1:23" ht="12" customHeight="1">
      <c r="A21" s="192"/>
      <c r="B21" s="187" t="str">
        <f>UPPER(LEFT(TRIM(Data!B19),1)) &amp; MID(TRIM(Data!B19),2,50)</f>
        <v>Kitų kvėpavimo sistemos organų</v>
      </c>
      <c r="C21" s="188" t="str">
        <f>Data!C19</f>
        <v>C37-C39</v>
      </c>
      <c r="D21" s="209">
        <f>Data!CD19/D$2*100000</f>
        <v>0</v>
      </c>
      <c r="E21" s="209">
        <f>Data!CE19/E$2*100000</f>
        <v>0</v>
      </c>
      <c r="F21" s="209">
        <f>Data!CF19/F$2*100000</f>
        <v>0</v>
      </c>
      <c r="G21" s="209">
        <f>Data!CG19/G$2*100000</f>
        <v>0</v>
      </c>
      <c r="H21" s="209">
        <f>Data!CH19/H$2*100000</f>
        <v>0</v>
      </c>
      <c r="I21" s="209">
        <f>Data!CI19/I$2*100000</f>
        <v>0</v>
      </c>
      <c r="J21" s="209">
        <f>Data!CJ19/J$2*100000</f>
        <v>0</v>
      </c>
      <c r="K21" s="209">
        <f>Data!CK19/K$2*100000</f>
        <v>0</v>
      </c>
      <c r="L21" s="209">
        <f>Data!CL19/L$2*100000</f>
        <v>0</v>
      </c>
      <c r="M21" s="209">
        <f>Data!CM19/M$2*100000</f>
        <v>0</v>
      </c>
      <c r="N21" s="209">
        <f>Data!CN19/N$2*100000</f>
        <v>0.83712831502812757</v>
      </c>
      <c r="O21" s="209">
        <f>Data!CO19/O$2*100000</f>
        <v>0.85559301151628186</v>
      </c>
      <c r="P21" s="209">
        <f>Data!CP19/P$2*100000</f>
        <v>1.0226726527105938</v>
      </c>
      <c r="Q21" s="209">
        <f>Data!CQ19/Q$2*100000</f>
        <v>1.1361312458815243</v>
      </c>
      <c r="R21" s="209">
        <f>Data!CR19/R$2*100000</f>
        <v>1.1874651182121525</v>
      </c>
      <c r="S21" s="209">
        <f>Data!CS19/S$2*100000</f>
        <v>0</v>
      </c>
      <c r="T21" s="209">
        <f>Data!CT19/T$2*100000</f>
        <v>1.6381089670084856</v>
      </c>
      <c r="U21" s="209">
        <f>Data!CU19/U$2*100000</f>
        <v>0</v>
      </c>
      <c r="V21" s="209">
        <f>Data!BQ19/V$2*100000</f>
        <v>0.38290263168978766</v>
      </c>
      <c r="W21" s="192"/>
    </row>
    <row r="22" spans="1:23" ht="12" customHeight="1">
      <c r="A22" s="192"/>
      <c r="B22" s="201" t="str">
        <f>UPPER(LEFT(TRIM(Data!B20),1)) &amp; MID(TRIM(Data!B20),2,50)</f>
        <v>Kaulų ir jungiamojo audinio</v>
      </c>
      <c r="C22" s="202" t="str">
        <f>Data!C20</f>
        <v>C40-C41, C45-C47, C49</v>
      </c>
      <c r="D22" s="207">
        <f>Data!CD20/D$2*100000</f>
        <v>0</v>
      </c>
      <c r="E22" s="207">
        <f>Data!CE20/E$2*100000</f>
        <v>1.4681700728212357</v>
      </c>
      <c r="F22" s="207">
        <f>Data!CF20/F$2*100000</f>
        <v>0</v>
      </c>
      <c r="G22" s="207">
        <f>Data!CG20/G$2*100000</f>
        <v>4.9491475093415165</v>
      </c>
      <c r="H22" s="207">
        <f>Data!CH20/H$2*100000</f>
        <v>3.05935141749949</v>
      </c>
      <c r="I22" s="207">
        <f>Data!CI20/I$2*100000</f>
        <v>0</v>
      </c>
      <c r="J22" s="207">
        <f>Data!CJ20/J$2*100000</f>
        <v>2.2783714201089063</v>
      </c>
      <c r="K22" s="207">
        <f>Data!CK20/K$2*100000</f>
        <v>1.1211642169228526</v>
      </c>
      <c r="L22" s="207">
        <f>Data!CL20/L$2*100000</f>
        <v>4.8846728734576645</v>
      </c>
      <c r="M22" s="207">
        <f>Data!CM20/M$2*100000</f>
        <v>0.91885584070715143</v>
      </c>
      <c r="N22" s="207">
        <f>Data!CN20/N$2*100000</f>
        <v>1.6742566300562551</v>
      </c>
      <c r="O22" s="207">
        <f>Data!CO20/O$2*100000</f>
        <v>2.5667790345488455</v>
      </c>
      <c r="P22" s="207">
        <f>Data!CP20/P$2*100000</f>
        <v>8.1813812216847506</v>
      </c>
      <c r="Q22" s="207">
        <f>Data!CQ20/Q$2*100000</f>
        <v>5.6806562294076217</v>
      </c>
      <c r="R22" s="207">
        <f>Data!CR20/R$2*100000</f>
        <v>9.49972094569722</v>
      </c>
      <c r="S22" s="207">
        <f>Data!CS20/S$2*100000</f>
        <v>12.343545560026664</v>
      </c>
      <c r="T22" s="207">
        <f>Data!CT20/T$2*100000</f>
        <v>18.019198637093339</v>
      </c>
      <c r="U22" s="207">
        <f>Data!CU20/U$2*100000</f>
        <v>12.170879143170108</v>
      </c>
      <c r="V22" s="207">
        <f>Data!BQ20/V$2*100000</f>
        <v>4.4671973697141887</v>
      </c>
      <c r="W22" s="192"/>
    </row>
    <row r="23" spans="1:23" ht="12" customHeight="1">
      <c r="A23" s="192"/>
      <c r="B23" s="187" t="str">
        <f>UPPER(LEFT(TRIM(Data!B21),1)) &amp; MID(TRIM(Data!B21),2,50)</f>
        <v>Odos melanoma</v>
      </c>
      <c r="C23" s="188" t="str">
        <f>Data!C21</f>
        <v>C43</v>
      </c>
      <c r="D23" s="209">
        <f>Data!CD21/D$2*100000</f>
        <v>0</v>
      </c>
      <c r="E23" s="209">
        <f>Data!CE21/E$2*100000</f>
        <v>0</v>
      </c>
      <c r="F23" s="209">
        <f>Data!CF21/F$2*100000</f>
        <v>0</v>
      </c>
      <c r="G23" s="209">
        <f>Data!CG21/G$2*100000</f>
        <v>0</v>
      </c>
      <c r="H23" s="209">
        <f>Data!CH21/H$2*100000</f>
        <v>2.0395676116663268</v>
      </c>
      <c r="I23" s="209">
        <f>Data!CI21/I$2*100000</f>
        <v>3.1531152778945595</v>
      </c>
      <c r="J23" s="209">
        <f>Data!CJ21/J$2*100000</f>
        <v>6.8351142603267192</v>
      </c>
      <c r="K23" s="209">
        <f>Data!CK21/K$2*100000</f>
        <v>4.4846568676914105</v>
      </c>
      <c r="L23" s="209">
        <f>Data!CL21/L$2*100000</f>
        <v>10.746280321606863</v>
      </c>
      <c r="M23" s="209">
        <f>Data!CM21/M$2*100000</f>
        <v>6.4319908849500598</v>
      </c>
      <c r="N23" s="209">
        <f>Data!CN21/N$2*100000</f>
        <v>10.045539780337529</v>
      </c>
      <c r="O23" s="209">
        <f>Data!CO21/O$2*100000</f>
        <v>17.96745324184192</v>
      </c>
      <c r="P23" s="209">
        <f>Data!CP21/P$2*100000</f>
        <v>16.362762443369501</v>
      </c>
      <c r="Q23" s="209">
        <f>Data!CQ21/Q$2*100000</f>
        <v>27.267149901156586</v>
      </c>
      <c r="R23" s="209">
        <f>Data!CR21/R$2*100000</f>
        <v>39.186348901001033</v>
      </c>
      <c r="S23" s="209">
        <f>Data!CS21/S$2*100000</f>
        <v>41.96805490409065</v>
      </c>
      <c r="T23" s="209">
        <f>Data!CT21/T$2*100000</f>
        <v>34.400288307178194</v>
      </c>
      <c r="U23" s="209">
        <f>Data!CU21/U$2*100000</f>
        <v>26.370238143535236</v>
      </c>
      <c r="V23" s="209">
        <f>Data!BQ21/V$2*100000</f>
        <v>13.210140793297674</v>
      </c>
      <c r="W23" s="192"/>
    </row>
    <row r="24" spans="1:23" ht="12" customHeight="1">
      <c r="A24" s="192"/>
      <c r="B24" s="201" t="str">
        <f>UPPER(LEFT(TRIM(Data!B22),1)) &amp; MID(TRIM(Data!B22),2,50)</f>
        <v>Kiti odos piktybiniai navikai</v>
      </c>
      <c r="C24" s="202" t="str">
        <f>Data!C22</f>
        <v>C44</v>
      </c>
      <c r="D24" s="207">
        <f>Data!CD22/D$2*100000</f>
        <v>0</v>
      </c>
      <c r="E24" s="207">
        <f>Data!CE22/E$2*100000</f>
        <v>0</v>
      </c>
      <c r="F24" s="207">
        <f>Data!CF22/F$2*100000</f>
        <v>0</v>
      </c>
      <c r="G24" s="207">
        <f>Data!CG22/G$2*100000</f>
        <v>1.2372868773353791</v>
      </c>
      <c r="H24" s="207">
        <f>Data!CH22/H$2*100000</f>
        <v>2.0395676116663268</v>
      </c>
      <c r="I24" s="207">
        <f>Data!CI22/I$2*100000</f>
        <v>7.3572689817539727</v>
      </c>
      <c r="J24" s="207">
        <f>Data!CJ22/J$2*100000</f>
        <v>17.087785650816798</v>
      </c>
      <c r="K24" s="207">
        <f>Data!CK22/K$2*100000</f>
        <v>25.786776989225611</v>
      </c>
      <c r="L24" s="207">
        <f>Data!CL22/L$2*100000</f>
        <v>26.377233516671389</v>
      </c>
      <c r="M24" s="207">
        <f>Data!CM22/M$2*100000</f>
        <v>40.429656991114669</v>
      </c>
      <c r="N24" s="207">
        <f>Data!CN22/N$2*100000</f>
        <v>56.087597106884544</v>
      </c>
      <c r="O24" s="207">
        <f>Data!CO22/O$2*100000</f>
        <v>88.981673197693326</v>
      </c>
      <c r="P24" s="207">
        <f>Data!CP22/P$2*100000</f>
        <v>120.67537301985007</v>
      </c>
      <c r="Q24" s="207">
        <f>Data!CQ22/Q$2*100000</f>
        <v>192.0061805539776</v>
      </c>
      <c r="R24" s="207">
        <f>Data!CR22/R$2*100000</f>
        <v>249.36767482455204</v>
      </c>
      <c r="S24" s="207">
        <f>Data!CS22/S$2*100000</f>
        <v>313.52605722467723</v>
      </c>
      <c r="T24" s="207">
        <f>Data!CT22/T$2*100000</f>
        <v>340.72666513776494</v>
      </c>
      <c r="U24" s="207">
        <f>Data!CU22/U$2*100000</f>
        <v>334.69917643717798</v>
      </c>
      <c r="V24" s="207">
        <f>Data!BQ22/V$2*100000</f>
        <v>90.237386868226608</v>
      </c>
      <c r="W24" s="192"/>
    </row>
    <row r="25" spans="1:23" ht="12" customHeight="1">
      <c r="A25" s="192"/>
      <c r="B25" s="187" t="str">
        <f>UPPER(LEFT(TRIM(Data!B23),1)) &amp; MID(TRIM(Data!B23),2,50)</f>
        <v>Krūties</v>
      </c>
      <c r="C25" s="188" t="str">
        <f>Data!C23</f>
        <v>C50</v>
      </c>
      <c r="D25" s="209">
        <f>Data!CD23/D$2*100000</f>
        <v>0</v>
      </c>
      <c r="E25" s="209">
        <f>Data!CE23/E$2*100000</f>
        <v>0</v>
      </c>
      <c r="F25" s="209">
        <f>Data!CF23/F$2*100000</f>
        <v>0</v>
      </c>
      <c r="G25" s="209">
        <f>Data!CG23/G$2*100000</f>
        <v>0</v>
      </c>
      <c r="H25" s="209">
        <f>Data!CH23/H$2*100000</f>
        <v>0</v>
      </c>
      <c r="I25" s="209">
        <f>Data!CI23/I$2*100000</f>
        <v>4.2041537038594132</v>
      </c>
      <c r="J25" s="209">
        <f>Data!CJ23/J$2*100000</f>
        <v>20.505342780980154</v>
      </c>
      <c r="K25" s="209">
        <f>Data!CK23/K$2*100000</f>
        <v>50.452389761528373</v>
      </c>
      <c r="L25" s="209">
        <f>Data!CL23/L$2*100000</f>
        <v>94.762653745078694</v>
      </c>
      <c r="M25" s="209">
        <f>Data!CM23/M$2*100000</f>
        <v>120.37011513263685</v>
      </c>
      <c r="N25" s="209">
        <f>Data!CN23/N$2*100000</f>
        <v>204.25930886686311</v>
      </c>
      <c r="O25" s="209">
        <f>Data!CO23/O$2*100000</f>
        <v>180.53012542993548</v>
      </c>
      <c r="P25" s="209">
        <f>Data!CP23/P$2*100000</f>
        <v>211.69323911109294</v>
      </c>
      <c r="Q25" s="209">
        <f>Data!CQ23/Q$2*100000</f>
        <v>188.59778681633301</v>
      </c>
      <c r="R25" s="209">
        <f>Data!CR23/R$2*100000</f>
        <v>206.61893056891455</v>
      </c>
      <c r="S25" s="209">
        <f>Data!CS23/S$2*100000</f>
        <v>208.60591996445058</v>
      </c>
      <c r="T25" s="209">
        <f>Data!CT23/T$2*100000</f>
        <v>153.98224289879764</v>
      </c>
      <c r="U25" s="209">
        <f>Data!CU23/U$2*100000</f>
        <v>158.22142886121139</v>
      </c>
      <c r="V25" s="209">
        <f>Data!BQ23/V$2*100000</f>
        <v>104.53241845131201</v>
      </c>
      <c r="W25" s="192"/>
    </row>
    <row r="26" spans="1:23" ht="12" customHeight="1">
      <c r="A26" s="192"/>
      <c r="B26" s="201" t="str">
        <f>UPPER(LEFT(TRIM(Data!B24),1)) &amp; MID(TRIM(Data!B24),2,50)</f>
        <v>Vulvos</v>
      </c>
      <c r="C26" s="202" t="str">
        <f>Data!C24</f>
        <v>C51</v>
      </c>
      <c r="D26" s="207">
        <f>Data!CD24/D$2*100000</f>
        <v>0</v>
      </c>
      <c r="E26" s="207">
        <f>Data!CE24/E$2*100000</f>
        <v>0</v>
      </c>
      <c r="F26" s="207">
        <f>Data!CF24/F$2*100000</f>
        <v>0</v>
      </c>
      <c r="G26" s="207">
        <f>Data!CG24/G$2*100000</f>
        <v>0</v>
      </c>
      <c r="H26" s="207">
        <f>Data!CH24/H$2*100000</f>
        <v>0</v>
      </c>
      <c r="I26" s="207">
        <f>Data!CI24/I$2*100000</f>
        <v>0</v>
      </c>
      <c r="J26" s="207">
        <f>Data!CJ24/J$2*100000</f>
        <v>0</v>
      </c>
      <c r="K26" s="207">
        <f>Data!CK24/K$2*100000</f>
        <v>2.2423284338457052</v>
      </c>
      <c r="L26" s="207">
        <f>Data!CL24/L$2*100000</f>
        <v>0</v>
      </c>
      <c r="M26" s="207">
        <f>Data!CM24/M$2*100000</f>
        <v>2.7565675221214545</v>
      </c>
      <c r="N26" s="207">
        <f>Data!CN24/N$2*100000</f>
        <v>2.5113849450843824</v>
      </c>
      <c r="O26" s="207">
        <f>Data!CO24/O$2*100000</f>
        <v>2.5667790345488455</v>
      </c>
      <c r="P26" s="207">
        <f>Data!CP24/P$2*100000</f>
        <v>5.1133632635529693</v>
      </c>
      <c r="Q26" s="207">
        <f>Data!CQ24/Q$2*100000</f>
        <v>4.544524983526097</v>
      </c>
      <c r="R26" s="207">
        <f>Data!CR24/R$2*100000</f>
        <v>5.9373255910607625</v>
      </c>
      <c r="S26" s="207">
        <f>Data!CS24/S$2*100000</f>
        <v>12.343545560026664</v>
      </c>
      <c r="T26" s="207">
        <f>Data!CT24/T$2*100000</f>
        <v>9.828653802050912</v>
      </c>
      <c r="U26" s="207">
        <f>Data!CU24/U$2*100000</f>
        <v>20.28479857195018</v>
      </c>
      <c r="V26" s="207">
        <f>Data!BQ24/V$2*100000</f>
        <v>3.2546723693631949</v>
      </c>
      <c r="W26" s="192"/>
    </row>
    <row r="27" spans="1:23" ht="12" customHeight="1">
      <c r="A27" s="192"/>
      <c r="B27" s="187" t="str">
        <f>UPPER(LEFT(TRIM(Data!B25),1)) &amp; MID(TRIM(Data!B25),2,50)</f>
        <v>Gimdos kaklelio</v>
      </c>
      <c r="C27" s="188" t="str">
        <f>Data!C25</f>
        <v>C53</v>
      </c>
      <c r="D27" s="209">
        <f>Data!CD25/D$2*100000</f>
        <v>0</v>
      </c>
      <c r="E27" s="209">
        <f>Data!CE25/E$2*100000</f>
        <v>0</v>
      </c>
      <c r="F27" s="209">
        <f>Data!CF25/F$2*100000</f>
        <v>0</v>
      </c>
      <c r="G27" s="209">
        <f>Data!CG25/G$2*100000</f>
        <v>0</v>
      </c>
      <c r="H27" s="209">
        <f>Data!CH25/H$2*100000</f>
        <v>2.0395676116663268</v>
      </c>
      <c r="I27" s="209">
        <f>Data!CI25/I$2*100000</f>
        <v>8.4083074077188265</v>
      </c>
      <c r="J27" s="209">
        <f>Data!CJ25/J$2*100000</f>
        <v>21.64452849103461</v>
      </c>
      <c r="K27" s="209">
        <f>Data!CK25/K$2*100000</f>
        <v>29.150269639994168</v>
      </c>
      <c r="L27" s="209">
        <f>Data!CL25/L$2*100000</f>
        <v>32.238840964820589</v>
      </c>
      <c r="M27" s="209">
        <f>Data!CM25/M$2*100000</f>
        <v>39.510801150407509</v>
      </c>
      <c r="N27" s="209">
        <f>Data!CN25/N$2*100000</f>
        <v>41.856415751406374</v>
      </c>
      <c r="O27" s="209">
        <f>Data!CO25/O$2*100000</f>
        <v>45.346429610362939</v>
      </c>
      <c r="P27" s="209">
        <f>Data!CP25/P$2*100000</f>
        <v>31.702852234028409</v>
      </c>
      <c r="Q27" s="209">
        <f>Data!CQ25/Q$2*100000</f>
        <v>29.539412392919633</v>
      </c>
      <c r="R27" s="209">
        <f>Data!CR25/R$2*100000</f>
        <v>28.49916283709166</v>
      </c>
      <c r="S27" s="209">
        <f>Data!CS25/S$2*100000</f>
        <v>32.093218456069323</v>
      </c>
      <c r="T27" s="209">
        <f>Data!CT25/T$2*100000</f>
        <v>37.676506241195163</v>
      </c>
      <c r="U27" s="209">
        <f>Data!CU25/U$2*100000</f>
        <v>32.455677715120288</v>
      </c>
      <c r="V27" s="209">
        <f>Data!BQ25/V$2*100000</f>
        <v>24.25050000701988</v>
      </c>
      <c r="W27" s="192"/>
    </row>
    <row r="28" spans="1:23" ht="12" customHeight="1">
      <c r="A28" s="192"/>
      <c r="B28" s="201" t="str">
        <f>UPPER(LEFT(TRIM(Data!B26),1)) &amp; MID(TRIM(Data!B26),2,50)</f>
        <v>Gimdos kūno</v>
      </c>
      <c r="C28" s="202" t="str">
        <f>Data!C26</f>
        <v>C54, C55</v>
      </c>
      <c r="D28" s="207">
        <f>Data!CD26/D$2*100000</f>
        <v>0</v>
      </c>
      <c r="E28" s="207">
        <f>Data!CE26/E$2*100000</f>
        <v>0</v>
      </c>
      <c r="F28" s="207">
        <f>Data!CF26/F$2*100000</f>
        <v>0</v>
      </c>
      <c r="G28" s="207">
        <f>Data!CG26/G$2*100000</f>
        <v>0</v>
      </c>
      <c r="H28" s="207">
        <f>Data!CH26/H$2*100000</f>
        <v>0</v>
      </c>
      <c r="I28" s="207">
        <f>Data!CI26/I$2*100000</f>
        <v>1.0510384259648533</v>
      </c>
      <c r="J28" s="207">
        <f>Data!CJ26/J$2*100000</f>
        <v>6.8351142603267192</v>
      </c>
      <c r="K28" s="207">
        <f>Data!CK26/K$2*100000</f>
        <v>7.8481495184599686</v>
      </c>
      <c r="L28" s="207">
        <f>Data!CL26/L$2*100000</f>
        <v>15.630953195064528</v>
      </c>
      <c r="M28" s="207">
        <f>Data!CM26/M$2*100000</f>
        <v>37.673089468993211</v>
      </c>
      <c r="N28" s="207">
        <f>Data!CN26/N$2*100000</f>
        <v>54.413340476828282</v>
      </c>
      <c r="O28" s="207">
        <f>Data!CO26/O$2*100000</f>
        <v>78.714557059497935</v>
      </c>
      <c r="P28" s="207">
        <f>Data!CP26/P$2*100000</f>
        <v>83.859157522268688</v>
      </c>
      <c r="Q28" s="207">
        <f>Data!CQ26/Q$2*100000</f>
        <v>101.11568088345567</v>
      </c>
      <c r="R28" s="207">
        <f>Data!CR26/R$2*100000</f>
        <v>86.684953629487126</v>
      </c>
      <c r="S28" s="207">
        <f>Data!CS26/S$2*100000</f>
        <v>77.764337028167972</v>
      </c>
      <c r="T28" s="207">
        <f>Data!CT26/T$2*100000</f>
        <v>68.800576614356387</v>
      </c>
      <c r="U28" s="207">
        <f>Data!CU26/U$2*100000</f>
        <v>77.082234573410688</v>
      </c>
      <c r="V28" s="207">
        <f>Data!BQ26/V$2*100000</f>
        <v>39.247519748203231</v>
      </c>
      <c r="W28" s="192"/>
    </row>
    <row r="29" spans="1:23" ht="12" customHeight="1">
      <c r="A29" s="192"/>
      <c r="B29" s="187" t="str">
        <f>UPPER(LEFT(TRIM(Data!B27),1)) &amp; MID(TRIM(Data!B27),2,50)</f>
        <v>Kiaušidžių</v>
      </c>
      <c r="C29" s="188" t="str">
        <f>Data!C27</f>
        <v>C56</v>
      </c>
      <c r="D29" s="209">
        <f>Data!CD27/D$2*100000</f>
        <v>0</v>
      </c>
      <c r="E29" s="209">
        <f>Data!CE27/E$2*100000</f>
        <v>1.4681700728212357</v>
      </c>
      <c r="F29" s="209">
        <f>Data!CF27/F$2*100000</f>
        <v>1.5291922806373675</v>
      </c>
      <c r="G29" s="209">
        <f>Data!CG27/G$2*100000</f>
        <v>1.2372868773353791</v>
      </c>
      <c r="H29" s="209">
        <f>Data!CH27/H$2*100000</f>
        <v>3.05935141749949</v>
      </c>
      <c r="I29" s="209">
        <f>Data!CI27/I$2*100000</f>
        <v>6.306230555789119</v>
      </c>
      <c r="J29" s="209">
        <f>Data!CJ27/J$2*100000</f>
        <v>2.2783714201089063</v>
      </c>
      <c r="K29" s="209">
        <f>Data!CK27/K$2*100000</f>
        <v>8.969313735382821</v>
      </c>
      <c r="L29" s="209">
        <f>Data!CL27/L$2*100000</f>
        <v>14.654018620372995</v>
      </c>
      <c r="M29" s="209">
        <f>Data!CM27/M$2*100000</f>
        <v>27.565675221214544</v>
      </c>
      <c r="N29" s="209">
        <f>Data!CN27/N$2*100000</f>
        <v>28.462362710956334</v>
      </c>
      <c r="O29" s="209">
        <f>Data!CO27/O$2*100000</f>
        <v>31.656941426102431</v>
      </c>
      <c r="P29" s="209">
        <f>Data!CP27/P$2*100000</f>
        <v>48.06561467739791</v>
      </c>
      <c r="Q29" s="209">
        <f>Data!CQ27/Q$2*100000</f>
        <v>46.581381081142496</v>
      </c>
      <c r="R29" s="209">
        <f>Data!CR27/R$2*100000</f>
        <v>60.560721028819778</v>
      </c>
      <c r="S29" s="209">
        <f>Data!CS27/S$2*100000</f>
        <v>50.608536796109313</v>
      </c>
      <c r="T29" s="209">
        <f>Data!CT27/T$2*100000</f>
        <v>60.610031779313964</v>
      </c>
      <c r="U29" s="209">
        <f>Data!CU27/U$2*100000</f>
        <v>60.854395715850544</v>
      </c>
      <c r="V29" s="209">
        <f>Data!BQ27/V$2*100000</f>
        <v>24.56958553342804</v>
      </c>
      <c r="W29" s="192"/>
    </row>
    <row r="30" spans="1:23" ht="12" customHeight="1">
      <c r="A30" s="192"/>
      <c r="B30" s="201" t="str">
        <f>UPPER(LEFT(TRIM(Data!B30),1)) &amp; MID(TRIM(Data!B30),2,50)</f>
        <v>Kitų lyties organų</v>
      </c>
      <c r="C30" s="202" t="s">
        <v>418</v>
      </c>
      <c r="D30" s="207">
        <f>Data!CD30/D$2*100000</f>
        <v>0</v>
      </c>
      <c r="E30" s="207">
        <f>Data!CE30/E$2*100000</f>
        <v>0</v>
      </c>
      <c r="F30" s="207">
        <f>Data!CF30/F$2*100000</f>
        <v>0</v>
      </c>
      <c r="G30" s="207">
        <f>Data!CG30/G$2*100000</f>
        <v>0</v>
      </c>
      <c r="H30" s="207">
        <f>Data!CH30/H$2*100000</f>
        <v>0</v>
      </c>
      <c r="I30" s="207">
        <f>Data!CI30/I$2*100000</f>
        <v>0</v>
      </c>
      <c r="J30" s="207">
        <f>Data!CJ30/J$2*100000</f>
        <v>0</v>
      </c>
      <c r="K30" s="207">
        <f>Data!CK30/K$2*100000</f>
        <v>0</v>
      </c>
      <c r="L30" s="207">
        <f>Data!CL30/L$2*100000</f>
        <v>0</v>
      </c>
      <c r="M30" s="207">
        <f>Data!CM30/M$2*100000</f>
        <v>2.7565675221214545</v>
      </c>
      <c r="N30" s="207">
        <f>Data!CN30/N$2*100000</f>
        <v>0.83712831502812757</v>
      </c>
      <c r="O30" s="207">
        <f>Data!CO30/O$2*100000</f>
        <v>1.7111860230325637</v>
      </c>
      <c r="P30" s="207">
        <f>Data!CP30/P$2*100000</f>
        <v>2.0453453054211876</v>
      </c>
      <c r="Q30" s="207">
        <f>Data!CQ30/Q$2*100000</f>
        <v>7.9529187211706702</v>
      </c>
      <c r="R30" s="207">
        <f>Data!CR30/R$2*100000</f>
        <v>3.5623953546364575</v>
      </c>
      <c r="S30" s="207">
        <f>Data!CS30/S$2*100000</f>
        <v>7.4061273360159969</v>
      </c>
      <c r="T30" s="207">
        <f>Data!CT30/T$2*100000</f>
        <v>8.1905448350424273</v>
      </c>
      <c r="U30" s="207">
        <f>Data!CU30/U$2*100000</f>
        <v>12.170879143170108</v>
      </c>
      <c r="V30" s="207">
        <f>Data!BQ30/V$2*100000</f>
        <v>2.2335986848570943</v>
      </c>
      <c r="W30" s="192"/>
    </row>
    <row r="31" spans="1:23" ht="12" customHeight="1">
      <c r="A31" s="192"/>
      <c r="B31" s="187" t="str">
        <f>UPPER(LEFT(TRIM(Data!B31),1)) &amp; MID(TRIM(Data!B31),2,50)</f>
        <v>Inkstų</v>
      </c>
      <c r="C31" s="188" t="str">
        <f>Data!C31</f>
        <v>C64</v>
      </c>
      <c r="D31" s="209">
        <f>Data!CD31/D$2*100000</f>
        <v>2.7183885392739184</v>
      </c>
      <c r="E31" s="209">
        <f>Data!CE31/E$2*100000</f>
        <v>1.4681700728212357</v>
      </c>
      <c r="F31" s="209">
        <f>Data!CF31/F$2*100000</f>
        <v>0</v>
      </c>
      <c r="G31" s="209">
        <f>Data!CG31/G$2*100000</f>
        <v>1.2372868773353791</v>
      </c>
      <c r="H31" s="209">
        <f>Data!CH31/H$2*100000</f>
        <v>1.0197838058331634</v>
      </c>
      <c r="I31" s="209">
        <f>Data!CI31/I$2*100000</f>
        <v>0</v>
      </c>
      <c r="J31" s="209">
        <f>Data!CJ31/J$2*100000</f>
        <v>0</v>
      </c>
      <c r="K31" s="209">
        <f>Data!CK31/K$2*100000</f>
        <v>3.3634926507685576</v>
      </c>
      <c r="L31" s="209">
        <f>Data!CL31/L$2*100000</f>
        <v>2.9308037240745985</v>
      </c>
      <c r="M31" s="209">
        <f>Data!CM31/M$2*100000</f>
        <v>5.513135044242909</v>
      </c>
      <c r="N31" s="209">
        <f>Data!CN31/N$2*100000</f>
        <v>16.742566300562547</v>
      </c>
      <c r="O31" s="209">
        <f>Data!CO31/O$2*100000</f>
        <v>20.534232276390764</v>
      </c>
      <c r="P31" s="209">
        <f>Data!CP31/P$2*100000</f>
        <v>37.838888150291972</v>
      </c>
      <c r="Q31" s="209">
        <f>Data!CQ31/Q$2*100000</f>
        <v>59.078824785839267</v>
      </c>
      <c r="R31" s="209">
        <f>Data!CR31/R$2*100000</f>
        <v>36.811418664576728</v>
      </c>
      <c r="S31" s="209">
        <f>Data!CS31/S$2*100000</f>
        <v>66.655146024143974</v>
      </c>
      <c r="T31" s="209">
        <f>Data!CT31/T$2*100000</f>
        <v>55.695704878288502</v>
      </c>
      <c r="U31" s="209">
        <f>Data!CU31/U$2*100000</f>
        <v>28.398718000730256</v>
      </c>
      <c r="V31" s="209">
        <f>Data!BQ31/V$2*100000</f>
        <v>18.060240794701649</v>
      </c>
      <c r="W31" s="192"/>
    </row>
    <row r="32" spans="1:23" ht="12" customHeight="1">
      <c r="A32" s="192"/>
      <c r="B32" s="201" t="str">
        <f>UPPER(LEFT(TRIM(Data!B32),1)) &amp; MID(TRIM(Data!B32),2,50)</f>
        <v>Šlapimo pūslės</v>
      </c>
      <c r="C32" s="202" t="str">
        <f>Data!C32</f>
        <v>C67</v>
      </c>
      <c r="D32" s="207">
        <f>Data!CD32/D$2*100000</f>
        <v>0</v>
      </c>
      <c r="E32" s="207">
        <f>Data!CE32/E$2*100000</f>
        <v>0</v>
      </c>
      <c r="F32" s="207">
        <f>Data!CF32/F$2*100000</f>
        <v>0</v>
      </c>
      <c r="G32" s="207">
        <f>Data!CG32/G$2*100000</f>
        <v>0</v>
      </c>
      <c r="H32" s="207">
        <f>Data!CH32/H$2*100000</f>
        <v>0</v>
      </c>
      <c r="I32" s="207">
        <f>Data!CI32/I$2*100000</f>
        <v>0</v>
      </c>
      <c r="J32" s="207">
        <f>Data!CJ32/J$2*100000</f>
        <v>0</v>
      </c>
      <c r="K32" s="207">
        <f>Data!CK32/K$2*100000</f>
        <v>2.2423284338457052</v>
      </c>
      <c r="L32" s="207">
        <f>Data!CL32/L$2*100000</f>
        <v>0</v>
      </c>
      <c r="M32" s="207">
        <f>Data!CM32/M$2*100000</f>
        <v>0.91885584070715143</v>
      </c>
      <c r="N32" s="207">
        <f>Data!CN32/N$2*100000</f>
        <v>2.5113849450843824</v>
      </c>
      <c r="O32" s="207">
        <f>Data!CO32/O$2*100000</f>
        <v>0.85559301151628186</v>
      </c>
      <c r="P32" s="207">
        <f>Data!CP32/P$2*100000</f>
        <v>8.1813812216847506</v>
      </c>
      <c r="Q32" s="207">
        <f>Data!CQ32/Q$2*100000</f>
        <v>11.361312458815243</v>
      </c>
      <c r="R32" s="207">
        <f>Data!CR32/R$2*100000</f>
        <v>10.687186063909373</v>
      </c>
      <c r="S32" s="207">
        <f>Data!CS32/S$2*100000</f>
        <v>19.749672896042661</v>
      </c>
      <c r="T32" s="207">
        <f>Data!CT32/T$2*100000</f>
        <v>29.48596140615274</v>
      </c>
      <c r="U32" s="207">
        <f>Data!CU32/U$2*100000</f>
        <v>50.711996429875455</v>
      </c>
      <c r="V32" s="207">
        <f>Data!BQ32/V$2*100000</f>
        <v>5.9349907911917077</v>
      </c>
      <c r="W32" s="192"/>
    </row>
    <row r="33" spans="1:23" ht="12" customHeight="1">
      <c r="A33" s="192"/>
      <c r="B33" s="187" t="str">
        <f>UPPER(LEFT(TRIM(Data!B33),1)) &amp; MID(TRIM(Data!B33),2,50)</f>
        <v>Kitų šlapimą išskiriančių organų</v>
      </c>
      <c r="C33" s="188" t="str">
        <f>Data!C33</f>
        <v>C65, C66, C68</v>
      </c>
      <c r="D33" s="209">
        <f>Data!CD33/D$2*100000</f>
        <v>0</v>
      </c>
      <c r="E33" s="209">
        <f>Data!CE33/E$2*100000</f>
        <v>0</v>
      </c>
      <c r="F33" s="209">
        <f>Data!CF33/F$2*100000</f>
        <v>0</v>
      </c>
      <c r="G33" s="209">
        <f>Data!CG33/G$2*100000</f>
        <v>0</v>
      </c>
      <c r="H33" s="209">
        <f>Data!CH33/H$2*100000</f>
        <v>0</v>
      </c>
      <c r="I33" s="209">
        <f>Data!CI33/I$2*100000</f>
        <v>0</v>
      </c>
      <c r="J33" s="209">
        <f>Data!CJ33/J$2*100000</f>
        <v>0</v>
      </c>
      <c r="K33" s="209">
        <f>Data!CK33/K$2*100000</f>
        <v>0</v>
      </c>
      <c r="L33" s="209">
        <f>Data!CL33/L$2*100000</f>
        <v>0</v>
      </c>
      <c r="M33" s="209">
        <f>Data!CM33/M$2*100000</f>
        <v>0</v>
      </c>
      <c r="N33" s="209">
        <f>Data!CN33/N$2*100000</f>
        <v>0.83712831502812757</v>
      </c>
      <c r="O33" s="209">
        <f>Data!CO33/O$2*100000</f>
        <v>0</v>
      </c>
      <c r="P33" s="209">
        <f>Data!CP33/P$2*100000</f>
        <v>4.0906906108423753</v>
      </c>
      <c r="Q33" s="209">
        <f>Data!CQ33/Q$2*100000</f>
        <v>1.1361312458815243</v>
      </c>
      <c r="R33" s="209">
        <f>Data!CR33/R$2*100000</f>
        <v>4.74986047284861</v>
      </c>
      <c r="S33" s="209">
        <f>Data!CS33/S$2*100000</f>
        <v>4.9374182240106652</v>
      </c>
      <c r="T33" s="209">
        <f>Data!CT33/T$2*100000</f>
        <v>13.104871736067885</v>
      </c>
      <c r="U33" s="209">
        <f>Data!CU33/U$2*100000</f>
        <v>8.113919428780072</v>
      </c>
      <c r="V33" s="209">
        <f>Data!BQ33/V$2*100000</f>
        <v>1.6592447373224128</v>
      </c>
      <c r="W33" s="192"/>
    </row>
    <row r="34" spans="1:23" ht="12" customHeight="1">
      <c r="A34" s="192"/>
      <c r="B34" s="201" t="str">
        <f>UPPER(LEFT(TRIM(Data!B34),1)) &amp; MID(TRIM(Data!B34),2,50)</f>
        <v>Akių</v>
      </c>
      <c r="C34" s="202" t="str">
        <f>Data!C34</f>
        <v>C69</v>
      </c>
      <c r="D34" s="207">
        <f>Data!CD34/D$2*100000</f>
        <v>0</v>
      </c>
      <c r="E34" s="207">
        <f>Data!CE34/E$2*100000</f>
        <v>0</v>
      </c>
      <c r="F34" s="207">
        <f>Data!CF34/F$2*100000</f>
        <v>0</v>
      </c>
      <c r="G34" s="207">
        <f>Data!CG34/G$2*100000</f>
        <v>0</v>
      </c>
      <c r="H34" s="207">
        <f>Data!CH34/H$2*100000</f>
        <v>0</v>
      </c>
      <c r="I34" s="207">
        <f>Data!CI34/I$2*100000</f>
        <v>0</v>
      </c>
      <c r="J34" s="207">
        <f>Data!CJ34/J$2*100000</f>
        <v>0</v>
      </c>
      <c r="K34" s="207">
        <f>Data!CK34/K$2*100000</f>
        <v>0</v>
      </c>
      <c r="L34" s="207">
        <f>Data!CL34/L$2*100000</f>
        <v>1.953869149383066</v>
      </c>
      <c r="M34" s="207">
        <f>Data!CM34/M$2*100000</f>
        <v>0</v>
      </c>
      <c r="N34" s="207">
        <f>Data!CN34/N$2*100000</f>
        <v>0.83712831502812757</v>
      </c>
      <c r="O34" s="207">
        <f>Data!CO34/O$2*100000</f>
        <v>0.85559301151628186</v>
      </c>
      <c r="P34" s="207">
        <f>Data!CP34/P$2*100000</f>
        <v>2.0453453054211876</v>
      </c>
      <c r="Q34" s="207">
        <f>Data!CQ34/Q$2*100000</f>
        <v>1.1361312458815243</v>
      </c>
      <c r="R34" s="207">
        <f>Data!CR34/R$2*100000</f>
        <v>1.1874651182121525</v>
      </c>
      <c r="S34" s="207">
        <f>Data!CS34/S$2*100000</f>
        <v>4.9374182240106652</v>
      </c>
      <c r="T34" s="207">
        <f>Data!CT34/T$2*100000</f>
        <v>4.914326901025456</v>
      </c>
      <c r="U34" s="207">
        <f>Data!CU34/U$2*100000</f>
        <v>4.056959714390036</v>
      </c>
      <c r="V34" s="207">
        <f>Data!BQ34/V$2*100000</f>
        <v>1.0848907897877316</v>
      </c>
      <c r="W34" s="192"/>
    </row>
    <row r="35" spans="1:23" ht="12" customHeight="1">
      <c r="A35" s="192"/>
      <c r="B35" s="187" t="str">
        <f>UPPER(LEFT(TRIM(Data!B35),1)) &amp; MID(TRIM(Data!B35),2,50)</f>
        <v>Smegenų</v>
      </c>
      <c r="C35" s="188" t="str">
        <f>Data!C35</f>
        <v>C70-C72</v>
      </c>
      <c r="D35" s="209">
        <f>Data!CD35/D$2*100000</f>
        <v>2.7183885392739184</v>
      </c>
      <c r="E35" s="209">
        <f>Data!CE35/E$2*100000</f>
        <v>10.27719050974865</v>
      </c>
      <c r="F35" s="209">
        <f>Data!CF35/F$2*100000</f>
        <v>1.5291922806373675</v>
      </c>
      <c r="G35" s="209">
        <f>Data!CG35/G$2*100000</f>
        <v>0</v>
      </c>
      <c r="H35" s="209">
        <f>Data!CH35/H$2*100000</f>
        <v>4.0791352233326537</v>
      </c>
      <c r="I35" s="209">
        <f>Data!CI35/I$2*100000</f>
        <v>3.1531152778945595</v>
      </c>
      <c r="J35" s="209">
        <f>Data!CJ35/J$2*100000</f>
        <v>4.5567428402178125</v>
      </c>
      <c r="K35" s="209">
        <f>Data!CK35/K$2*100000</f>
        <v>0</v>
      </c>
      <c r="L35" s="209">
        <f>Data!CL35/L$2*100000</f>
        <v>2.9308037240745985</v>
      </c>
      <c r="M35" s="209">
        <f>Data!CM35/M$2*100000</f>
        <v>3.6754233628286057</v>
      </c>
      <c r="N35" s="209">
        <f>Data!CN35/N$2*100000</f>
        <v>9.2084114653094016</v>
      </c>
      <c r="O35" s="209">
        <f>Data!CO35/O$2*100000</f>
        <v>6.8447440921302549</v>
      </c>
      <c r="P35" s="209">
        <f>Data!CP35/P$2*100000</f>
        <v>14.317417137948315</v>
      </c>
      <c r="Q35" s="209">
        <f>Data!CQ35/Q$2*100000</f>
        <v>26.131018655275057</v>
      </c>
      <c r="R35" s="209">
        <f>Data!CR35/R$2*100000</f>
        <v>23.74930236424305</v>
      </c>
      <c r="S35" s="209">
        <f>Data!CS35/S$2*100000</f>
        <v>18.515318340039993</v>
      </c>
      <c r="T35" s="209">
        <f>Data!CT35/T$2*100000</f>
        <v>16.381089670084855</v>
      </c>
      <c r="U35" s="209">
        <f>Data!CU35/U$2*100000</f>
        <v>24.341758286340216</v>
      </c>
      <c r="V35" s="209">
        <f>Data!BQ35/V$2*100000</f>
        <v>8.9982118447100081</v>
      </c>
      <c r="W35" s="192"/>
    </row>
    <row r="36" spans="1:23" ht="12" customHeight="1">
      <c r="A36" s="192"/>
      <c r="B36" s="201" t="str">
        <f>UPPER(LEFT(TRIM(Data!B36),1)) &amp; MID(TRIM(Data!B36),2,50)</f>
        <v>Skydliaukės</v>
      </c>
      <c r="C36" s="202" t="str">
        <f>Data!C36</f>
        <v>C73</v>
      </c>
      <c r="D36" s="207">
        <f>Data!CD36/D$2*100000</f>
        <v>0</v>
      </c>
      <c r="E36" s="207">
        <f>Data!CE36/E$2*100000</f>
        <v>0</v>
      </c>
      <c r="F36" s="207">
        <f>Data!CF36/F$2*100000</f>
        <v>0</v>
      </c>
      <c r="G36" s="207">
        <f>Data!CG36/G$2*100000</f>
        <v>7.4237212640122738</v>
      </c>
      <c r="H36" s="207">
        <f>Data!CH36/H$2*100000</f>
        <v>6.11870283499898</v>
      </c>
      <c r="I36" s="207">
        <f>Data!CI36/I$2*100000</f>
        <v>8.4083074077188265</v>
      </c>
      <c r="J36" s="207">
        <f>Data!CJ36/J$2*100000</f>
        <v>13.670228520653438</v>
      </c>
      <c r="K36" s="207">
        <f>Data!CK36/K$2*100000</f>
        <v>24.665612772302758</v>
      </c>
      <c r="L36" s="207">
        <f>Data!CL36/L$2*100000</f>
        <v>27.354168091362922</v>
      </c>
      <c r="M36" s="207">
        <f>Data!CM36/M$2*100000</f>
        <v>33.997666106164601</v>
      </c>
      <c r="N36" s="207">
        <f>Data!CN36/N$2*100000</f>
        <v>22.602464505759443</v>
      </c>
      <c r="O36" s="207">
        <f>Data!CO36/O$2*100000</f>
        <v>29.945755403069871</v>
      </c>
      <c r="P36" s="207">
        <f>Data!CP36/P$2*100000</f>
        <v>27.612161623186037</v>
      </c>
      <c r="Q36" s="207">
        <f>Data!CQ36/Q$2*100000</f>
        <v>31.811674884682681</v>
      </c>
      <c r="R36" s="207">
        <f>Data!CR36/R$2*100000</f>
        <v>21.374372127818745</v>
      </c>
      <c r="S36" s="207">
        <f>Data!CS36/S$2*100000</f>
        <v>17.280963784037326</v>
      </c>
      <c r="T36" s="207">
        <f>Data!CT36/T$2*100000</f>
        <v>18.019198637093339</v>
      </c>
      <c r="U36" s="207">
        <f>Data!CU36/U$2*100000</f>
        <v>6.085439571585054</v>
      </c>
      <c r="V36" s="207">
        <f>Data!BQ36/V$2*100000</f>
        <v>17.996423689420016</v>
      </c>
      <c r="W36" s="192"/>
    </row>
    <row r="37" spans="1:23" ht="12" customHeight="1">
      <c r="A37" s="192"/>
      <c r="B37" s="187" t="str">
        <f>UPPER(LEFT(TRIM(Data!B37),1)) &amp; MID(TRIM(Data!B37),2,50)</f>
        <v>Kitų endokrininių liaukų</v>
      </c>
      <c r="C37" s="188" t="str">
        <f>Data!C37</f>
        <v>C74-C75</v>
      </c>
      <c r="D37" s="209">
        <f>Data!CD37/D$2*100000</f>
        <v>0</v>
      </c>
      <c r="E37" s="209">
        <f>Data!CE37/E$2*100000</f>
        <v>0</v>
      </c>
      <c r="F37" s="209">
        <f>Data!CF37/F$2*100000</f>
        <v>0</v>
      </c>
      <c r="G37" s="209">
        <f>Data!CG37/G$2*100000</f>
        <v>0</v>
      </c>
      <c r="H37" s="209">
        <f>Data!CH37/H$2*100000</f>
        <v>1.0197838058331634</v>
      </c>
      <c r="I37" s="209">
        <f>Data!CI37/I$2*100000</f>
        <v>0</v>
      </c>
      <c r="J37" s="209">
        <f>Data!CJ37/J$2*100000</f>
        <v>0</v>
      </c>
      <c r="K37" s="209">
        <f>Data!CK37/K$2*100000</f>
        <v>0</v>
      </c>
      <c r="L37" s="209">
        <f>Data!CL37/L$2*100000</f>
        <v>0.976934574691533</v>
      </c>
      <c r="M37" s="209">
        <f>Data!CM37/M$2*100000</f>
        <v>0</v>
      </c>
      <c r="N37" s="209">
        <f>Data!CN37/N$2*100000</f>
        <v>0.83712831502812757</v>
      </c>
      <c r="O37" s="209">
        <f>Data!CO37/O$2*100000</f>
        <v>0.85559301151628186</v>
      </c>
      <c r="P37" s="209">
        <f>Data!CP37/P$2*100000</f>
        <v>0</v>
      </c>
      <c r="Q37" s="209">
        <f>Data!CQ37/Q$2*100000</f>
        <v>1.1361312458815243</v>
      </c>
      <c r="R37" s="209">
        <f>Data!CR37/R$2*100000</f>
        <v>1.1874651182121525</v>
      </c>
      <c r="S37" s="209">
        <f>Data!CS37/S$2*100000</f>
        <v>0</v>
      </c>
      <c r="T37" s="209">
        <f>Data!CT37/T$2*100000</f>
        <v>0</v>
      </c>
      <c r="U37" s="209">
        <f>Data!CU37/U$2*100000</f>
        <v>2.028479857195018</v>
      </c>
      <c r="V37" s="209">
        <f>Data!BQ37/V$2*100000</f>
        <v>0.44671973697141887</v>
      </c>
      <c r="W37" s="192"/>
    </row>
    <row r="38" spans="1:23" ht="12" customHeight="1">
      <c r="A38" s="192"/>
      <c r="B38" s="201" t="str">
        <f>UPPER(LEFT(TRIM(Data!B38),1)) &amp; MID(TRIM(Data!B38),2,50)</f>
        <v>Nepatikslintos lokalizacijos</v>
      </c>
      <c r="C38" s="202" t="str">
        <f>Data!C38</f>
        <v>C76-C80</v>
      </c>
      <c r="D38" s="207">
        <f>Data!CD38/D$2*100000</f>
        <v>0</v>
      </c>
      <c r="E38" s="207">
        <f>Data!CE38/E$2*100000</f>
        <v>0</v>
      </c>
      <c r="F38" s="207">
        <f>Data!CF38/F$2*100000</f>
        <v>0</v>
      </c>
      <c r="G38" s="207">
        <f>Data!CG38/G$2*100000</f>
        <v>0</v>
      </c>
      <c r="H38" s="207">
        <f>Data!CH38/H$2*100000</f>
        <v>0</v>
      </c>
      <c r="I38" s="207">
        <f>Data!CI38/I$2*100000</f>
        <v>1.0510384259648533</v>
      </c>
      <c r="J38" s="207">
        <f>Data!CJ38/J$2*100000</f>
        <v>1.1391857100544531</v>
      </c>
      <c r="K38" s="207">
        <f>Data!CK38/K$2*100000</f>
        <v>0</v>
      </c>
      <c r="L38" s="207">
        <f>Data!CL38/L$2*100000</f>
        <v>2.9308037240745985</v>
      </c>
      <c r="M38" s="207">
        <f>Data!CM38/M$2*100000</f>
        <v>4.5942792035357574</v>
      </c>
      <c r="N38" s="207">
        <f>Data!CN38/N$2*100000</f>
        <v>6.6970265202250205</v>
      </c>
      <c r="O38" s="207">
        <f>Data!CO38/O$2*100000</f>
        <v>8.5559301151628198</v>
      </c>
      <c r="P38" s="207">
        <f>Data!CP38/P$2*100000</f>
        <v>16.362762443369501</v>
      </c>
      <c r="Q38" s="207">
        <f>Data!CQ38/Q$2*100000</f>
        <v>19.31423117998591</v>
      </c>
      <c r="R38" s="207">
        <f>Data!CR38/R$2*100000</f>
        <v>26.124232600667355</v>
      </c>
      <c r="S38" s="207">
        <f>Data!CS38/S$2*100000</f>
        <v>49.374182240106656</v>
      </c>
      <c r="T38" s="207">
        <f>Data!CT38/T$2*100000</f>
        <v>68.800576614356387</v>
      </c>
      <c r="U38" s="207">
        <f>Data!CU38/U$2*100000</f>
        <v>81.13919428780072</v>
      </c>
      <c r="V38" s="207">
        <f>Data!BQ38/V$2*100000</f>
        <v>13.082506582734409</v>
      </c>
      <c r="W38" s="192"/>
    </row>
    <row r="39" spans="1:23" ht="12" customHeight="1">
      <c r="A39" s="192"/>
      <c r="B39" s="187" t="str">
        <f>UPPER(LEFT(TRIM(Data!B39),1)) &amp; MID(TRIM(Data!B39),2,50)</f>
        <v>Hodžkino limfomos</v>
      </c>
      <c r="C39" s="188" t="str">
        <f>Data!C39</f>
        <v>C81</v>
      </c>
      <c r="D39" s="209">
        <f>Data!CD39/D$2*100000</f>
        <v>0</v>
      </c>
      <c r="E39" s="209">
        <f>Data!CE39/E$2*100000</f>
        <v>1.4681700728212357</v>
      </c>
      <c r="F39" s="209">
        <f>Data!CF39/F$2*100000</f>
        <v>4.5875768419121021</v>
      </c>
      <c r="G39" s="209">
        <f>Data!CG39/G$2*100000</f>
        <v>6.1864343866768952</v>
      </c>
      <c r="H39" s="209">
        <f>Data!CH39/H$2*100000</f>
        <v>1.0197838058331634</v>
      </c>
      <c r="I39" s="209">
        <f>Data!CI39/I$2*100000</f>
        <v>4.2041537038594132</v>
      </c>
      <c r="J39" s="209">
        <f>Data!CJ39/J$2*100000</f>
        <v>3.4175571301633596</v>
      </c>
      <c r="K39" s="209">
        <f>Data!CK39/K$2*100000</f>
        <v>3.3634926507685576</v>
      </c>
      <c r="L39" s="209">
        <f>Data!CL39/L$2*100000</f>
        <v>2.9308037240745985</v>
      </c>
      <c r="M39" s="209">
        <f>Data!CM39/M$2*100000</f>
        <v>0</v>
      </c>
      <c r="N39" s="209">
        <f>Data!CN39/N$2*100000</f>
        <v>1.6742566300562551</v>
      </c>
      <c r="O39" s="209">
        <f>Data!CO39/O$2*100000</f>
        <v>0</v>
      </c>
      <c r="P39" s="209">
        <f>Data!CP39/P$2*100000</f>
        <v>2.0453453054211876</v>
      </c>
      <c r="Q39" s="209">
        <f>Data!CQ39/Q$2*100000</f>
        <v>0</v>
      </c>
      <c r="R39" s="209">
        <f>Data!CR39/R$2*100000</f>
        <v>3.5623953546364575</v>
      </c>
      <c r="S39" s="209">
        <f>Data!CS39/S$2*100000</f>
        <v>0</v>
      </c>
      <c r="T39" s="209">
        <f>Data!CT39/T$2*100000</f>
        <v>0</v>
      </c>
      <c r="U39" s="209">
        <f>Data!CU39/U$2*100000</f>
        <v>0</v>
      </c>
      <c r="V39" s="209">
        <f>Data!BQ39/V$2*100000</f>
        <v>1.9145131584489381</v>
      </c>
      <c r="W39" s="192"/>
    </row>
    <row r="40" spans="1:23" ht="12" customHeight="1">
      <c r="A40" s="192"/>
      <c r="B40" s="201" t="str">
        <f>UPPER(LEFT(TRIM(Data!B40),1)) &amp; MID(TRIM(Data!B40),2,50)</f>
        <v>Ne Hodžkino limfomos</v>
      </c>
      <c r="C40" s="202" t="str">
        <f>Data!C40</f>
        <v>C82-C85</v>
      </c>
      <c r="D40" s="207">
        <f>Data!CD40/D$2*100000</f>
        <v>1.3591942696369592</v>
      </c>
      <c r="E40" s="207">
        <f>Data!CE40/E$2*100000</f>
        <v>0</v>
      </c>
      <c r="F40" s="207">
        <f>Data!CF40/F$2*100000</f>
        <v>0</v>
      </c>
      <c r="G40" s="207">
        <f>Data!CG40/G$2*100000</f>
        <v>1.2372868773353791</v>
      </c>
      <c r="H40" s="207">
        <f>Data!CH40/H$2*100000</f>
        <v>2.0395676116663268</v>
      </c>
      <c r="I40" s="207">
        <f>Data!CI40/I$2*100000</f>
        <v>5.2551921298242661</v>
      </c>
      <c r="J40" s="207">
        <f>Data!CJ40/J$2*100000</f>
        <v>3.4175571301633596</v>
      </c>
      <c r="K40" s="207">
        <f>Data!CK40/K$2*100000</f>
        <v>7.8481495184599686</v>
      </c>
      <c r="L40" s="207">
        <f>Data!CL40/L$2*100000</f>
        <v>3.907738298766132</v>
      </c>
      <c r="M40" s="207">
        <f>Data!CM40/M$2*100000</f>
        <v>8.2697025663643622</v>
      </c>
      <c r="N40" s="207">
        <f>Data!CN40/N$2*100000</f>
        <v>11.719796410393785</v>
      </c>
      <c r="O40" s="207">
        <f>Data!CO40/O$2*100000</f>
        <v>11.978302161227948</v>
      </c>
      <c r="P40" s="207">
        <f>Data!CP40/P$2*100000</f>
        <v>21.47612570692247</v>
      </c>
      <c r="Q40" s="207">
        <f>Data!CQ40/Q$2*100000</f>
        <v>22.722624917630487</v>
      </c>
      <c r="R40" s="207">
        <f>Data!CR40/R$2*100000</f>
        <v>40.373814019213185</v>
      </c>
      <c r="S40" s="207">
        <f>Data!CS40/S$2*100000</f>
        <v>28.390154788061324</v>
      </c>
      <c r="T40" s="207">
        <f>Data!CT40/T$2*100000</f>
        <v>50.781377977263041</v>
      </c>
      <c r="U40" s="207">
        <f>Data!CU40/U$2*100000</f>
        <v>32.455677715120288</v>
      </c>
      <c r="V40" s="207">
        <f>Data!BQ40/V$2*100000</f>
        <v>13.082506582734409</v>
      </c>
      <c r="W40" s="192"/>
    </row>
    <row r="41" spans="1:23" ht="12" customHeight="1">
      <c r="A41" s="192"/>
      <c r="B41" s="187" t="str">
        <f>UPPER(LEFT(TRIM(Data!B41),1)) &amp; MID(TRIM(Data!B41),2,50)</f>
        <v>Mielominės ligos</v>
      </c>
      <c r="C41" s="188" t="str">
        <f>Data!C41</f>
        <v>C90</v>
      </c>
      <c r="D41" s="209">
        <f>Data!CD41/D$2*100000</f>
        <v>0</v>
      </c>
      <c r="E41" s="209">
        <f>Data!CE41/E$2*100000</f>
        <v>0</v>
      </c>
      <c r="F41" s="209">
        <f>Data!CF41/F$2*100000</f>
        <v>0</v>
      </c>
      <c r="G41" s="209">
        <f>Data!CG41/G$2*100000</f>
        <v>0</v>
      </c>
      <c r="H41" s="209">
        <f>Data!CH41/H$2*100000</f>
        <v>0</v>
      </c>
      <c r="I41" s="209">
        <f>Data!CI41/I$2*100000</f>
        <v>0</v>
      </c>
      <c r="J41" s="209">
        <f>Data!CJ41/J$2*100000</f>
        <v>0</v>
      </c>
      <c r="K41" s="209">
        <f>Data!CK41/K$2*100000</f>
        <v>1.1211642169228526</v>
      </c>
      <c r="L41" s="209">
        <f>Data!CL41/L$2*100000</f>
        <v>1.953869149383066</v>
      </c>
      <c r="M41" s="209">
        <f>Data!CM41/M$2*100000</f>
        <v>0</v>
      </c>
      <c r="N41" s="209">
        <f>Data!CN41/N$2*100000</f>
        <v>5.0227698901687647</v>
      </c>
      <c r="O41" s="209">
        <f>Data!CO41/O$2*100000</f>
        <v>5.133558069097691</v>
      </c>
      <c r="P41" s="209">
        <f>Data!CP41/P$2*100000</f>
        <v>10.226726527105939</v>
      </c>
      <c r="Q41" s="209">
        <f>Data!CQ41/Q$2*100000</f>
        <v>11.361312458815243</v>
      </c>
      <c r="R41" s="209">
        <f>Data!CR41/R$2*100000</f>
        <v>23.74930236424305</v>
      </c>
      <c r="S41" s="209">
        <f>Data!CS41/S$2*100000</f>
        <v>19.749672896042661</v>
      </c>
      <c r="T41" s="209">
        <f>Data!CT41/T$2*100000</f>
        <v>18.019198637093339</v>
      </c>
      <c r="U41" s="209">
        <f>Data!CU41/U$2*100000</f>
        <v>12.170879143170108</v>
      </c>
      <c r="V41" s="209">
        <f>Data!BQ41/V$2*100000</f>
        <v>5.6159052647835512</v>
      </c>
      <c r="W41" s="192"/>
    </row>
    <row r="42" spans="1:23" ht="12" customHeight="1">
      <c r="A42" s="192"/>
      <c r="B42" s="201" t="str">
        <f>UPPER(LEFT(TRIM(Data!B42),1)) &amp; MID(TRIM(Data!B42),2,50)</f>
        <v>Leukemijos</v>
      </c>
      <c r="C42" s="202" t="str">
        <f>Data!C42</f>
        <v>C91-C95</v>
      </c>
      <c r="D42" s="207">
        <f>Data!CD42/D$2*100000</f>
        <v>4.0775828089108774</v>
      </c>
      <c r="E42" s="207">
        <f>Data!CE42/E$2*100000</f>
        <v>2.9363401456424714</v>
      </c>
      <c r="F42" s="207">
        <f>Data!CF42/F$2*100000</f>
        <v>3.0583845612747349</v>
      </c>
      <c r="G42" s="207">
        <f>Data!CG42/G$2*100000</f>
        <v>0</v>
      </c>
      <c r="H42" s="207">
        <f>Data!CH42/H$2*100000</f>
        <v>0</v>
      </c>
      <c r="I42" s="207">
        <f>Data!CI42/I$2*100000</f>
        <v>4.2041537038594132</v>
      </c>
      <c r="J42" s="207">
        <f>Data!CJ42/J$2*100000</f>
        <v>2.2783714201089063</v>
      </c>
      <c r="K42" s="207">
        <f>Data!CK42/K$2*100000</f>
        <v>1.1211642169228526</v>
      </c>
      <c r="L42" s="207">
        <f>Data!CL42/L$2*100000</f>
        <v>5.8616074481491971</v>
      </c>
      <c r="M42" s="207">
        <f>Data!CM42/M$2*100000</f>
        <v>2.7565675221214545</v>
      </c>
      <c r="N42" s="207">
        <f>Data!CN42/N$2*100000</f>
        <v>9.2084114653094016</v>
      </c>
      <c r="O42" s="207">
        <f>Data!CO42/O$2*100000</f>
        <v>16.256267218809356</v>
      </c>
      <c r="P42" s="207">
        <f>Data!CP42/P$2*100000</f>
        <v>15.340089790658908</v>
      </c>
      <c r="Q42" s="207">
        <f>Data!CQ42/Q$2*100000</f>
        <v>29.539412392919633</v>
      </c>
      <c r="R42" s="207">
        <f>Data!CR42/R$2*100000</f>
        <v>32.061558191728118</v>
      </c>
      <c r="S42" s="207">
        <f>Data!CS42/S$2*100000</f>
        <v>37.030636680079986</v>
      </c>
      <c r="T42" s="207">
        <f>Data!CT42/T$2*100000</f>
        <v>45.867051076237594</v>
      </c>
      <c r="U42" s="207">
        <f>Data!CU42/U$2*100000</f>
        <v>36.51263742951032</v>
      </c>
      <c r="V42" s="207">
        <f>Data!BQ42/V$2*100000</f>
        <v>12.571969740481361</v>
      </c>
      <c r="W42" s="192"/>
    </row>
    <row r="43" spans="1:23" ht="12" customHeight="1">
      <c r="A43" s="192"/>
      <c r="B43" s="187" t="str">
        <f>UPPER(LEFT(TRIM(Data!B43),1)) &amp; MID(TRIM(Data!B43),2,50)</f>
        <v>Kiti limfinio, kraujodaros audinių</v>
      </c>
      <c r="C43" s="188" t="str">
        <f>Data!C43</f>
        <v>C88, C96</v>
      </c>
      <c r="D43" s="209">
        <f>Data!CD43/D$2*100000</f>
        <v>0</v>
      </c>
      <c r="E43" s="209">
        <f>Data!CE43/E$2*100000</f>
        <v>0</v>
      </c>
      <c r="F43" s="209">
        <f>Data!CF43/F$2*100000</f>
        <v>0</v>
      </c>
      <c r="G43" s="209">
        <f>Data!CG43/G$2*100000</f>
        <v>0</v>
      </c>
      <c r="H43" s="209">
        <f>Data!CH43/H$2*100000</f>
        <v>0</v>
      </c>
      <c r="I43" s="209">
        <f>Data!CI43/I$2*100000</f>
        <v>0</v>
      </c>
      <c r="J43" s="209">
        <f>Data!CJ43/J$2*100000</f>
        <v>0</v>
      </c>
      <c r="K43" s="209">
        <f>Data!CK43/K$2*100000</f>
        <v>1.1211642169228526</v>
      </c>
      <c r="L43" s="209">
        <f>Data!CL43/L$2*100000</f>
        <v>0</v>
      </c>
      <c r="M43" s="209">
        <f>Data!CM43/M$2*100000</f>
        <v>0</v>
      </c>
      <c r="N43" s="209">
        <f>Data!CN43/N$2*100000</f>
        <v>0.83712831502812757</v>
      </c>
      <c r="O43" s="209">
        <f>Data!CO43/O$2*100000</f>
        <v>0</v>
      </c>
      <c r="P43" s="209">
        <f>Data!CP43/P$2*100000</f>
        <v>0</v>
      </c>
      <c r="Q43" s="209">
        <f>Data!CQ43/Q$2*100000</f>
        <v>0</v>
      </c>
      <c r="R43" s="209">
        <f>Data!CR43/R$2*100000</f>
        <v>3.5623953546364575</v>
      </c>
      <c r="S43" s="209">
        <f>Data!CS43/S$2*100000</f>
        <v>0</v>
      </c>
      <c r="T43" s="209">
        <f>Data!CT43/T$2*100000</f>
        <v>1.6381089670084856</v>
      </c>
      <c r="U43" s="209">
        <f>Data!CU43/U$2*100000</f>
        <v>0</v>
      </c>
      <c r="V43" s="209">
        <f>Data!BQ43/V$2*100000</f>
        <v>0.38290263168978766</v>
      </c>
      <c r="W43" s="192"/>
    </row>
    <row r="44" spans="1:23" ht="24" customHeight="1">
      <c r="A44" s="192"/>
      <c r="B44" s="203"/>
      <c r="C44" s="204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192"/>
    </row>
    <row r="45" spans="1:23" ht="12" customHeight="1">
      <c r="A45" s="192"/>
      <c r="B45" s="187" t="str">
        <f>UPPER(LEFT(TRIM(Data!B44),1)) &amp; MID(TRIM(Data!B44),2,50)</f>
        <v>Melanoma in situ</v>
      </c>
      <c r="C45" s="188" t="str">
        <f>Data!C44</f>
        <v>D03</v>
      </c>
      <c r="D45" s="209">
        <f>Data!CD44/D$2*100000</f>
        <v>0</v>
      </c>
      <c r="E45" s="209">
        <f>Data!CE44/E$2*100000</f>
        <v>0</v>
      </c>
      <c r="F45" s="209">
        <f>Data!CF44/F$2*100000</f>
        <v>0</v>
      </c>
      <c r="G45" s="209">
        <f>Data!CG44/G$2*100000</f>
        <v>0</v>
      </c>
      <c r="H45" s="209">
        <f>Data!CH44/H$2*100000</f>
        <v>0</v>
      </c>
      <c r="I45" s="209">
        <f>Data!CI44/I$2*100000</f>
        <v>0</v>
      </c>
      <c r="J45" s="209">
        <f>Data!CJ44/J$2*100000</f>
        <v>2.2783714201089063</v>
      </c>
      <c r="K45" s="209">
        <f>Data!CK44/K$2*100000</f>
        <v>1.1211642169228526</v>
      </c>
      <c r="L45" s="209">
        <f>Data!CL44/L$2*100000</f>
        <v>1.953869149383066</v>
      </c>
      <c r="M45" s="209">
        <f>Data!CM44/M$2*100000</f>
        <v>1.8377116814143029</v>
      </c>
      <c r="N45" s="209">
        <f>Data!CN44/N$2*100000</f>
        <v>1.6742566300562551</v>
      </c>
      <c r="O45" s="209">
        <f>Data!CO44/O$2*100000</f>
        <v>5.133558069097691</v>
      </c>
      <c r="P45" s="209">
        <f>Data!CP44/P$2*100000</f>
        <v>3.0680179581317817</v>
      </c>
      <c r="Q45" s="209">
        <f>Data!CQ44/Q$2*100000</f>
        <v>2.2722624917630485</v>
      </c>
      <c r="R45" s="209">
        <f>Data!CR44/R$2*100000</f>
        <v>9.49972094569722</v>
      </c>
      <c r="S45" s="209">
        <f>Data!CS44/S$2*100000</f>
        <v>3.7030636680079985</v>
      </c>
      <c r="T45" s="209">
        <f>Data!CT44/T$2*100000</f>
        <v>4.914326901025456</v>
      </c>
      <c r="U45" s="209">
        <f>Data!CU44/U$2*100000</f>
        <v>4.056959714390036</v>
      </c>
      <c r="V45" s="209">
        <f>Data!BQ44/V$2*100000</f>
        <v>2.2974157901387255</v>
      </c>
      <c r="W45" s="192"/>
    </row>
    <row r="46" spans="1:23" ht="12" customHeight="1">
      <c r="A46" s="192"/>
      <c r="B46" s="201" t="str">
        <f>UPPER(LEFT(TRIM(Data!B45),1)) &amp; MID(TRIM(Data!B45),2,50)</f>
        <v>Krūties navikai in situ</v>
      </c>
      <c r="C46" s="202" t="str">
        <f>Data!C45</f>
        <v>D05</v>
      </c>
      <c r="D46" s="207">
        <f>Data!CD45/D$2*100000</f>
        <v>0</v>
      </c>
      <c r="E46" s="207">
        <f>Data!CE45/E$2*100000</f>
        <v>0</v>
      </c>
      <c r="F46" s="207">
        <f>Data!CF45/F$2*100000</f>
        <v>0</v>
      </c>
      <c r="G46" s="207">
        <f>Data!CG45/G$2*100000</f>
        <v>0</v>
      </c>
      <c r="H46" s="207">
        <f>Data!CH45/H$2*100000</f>
        <v>0</v>
      </c>
      <c r="I46" s="207">
        <f>Data!CI45/I$2*100000</f>
        <v>1.0510384259648533</v>
      </c>
      <c r="J46" s="207">
        <f>Data!CJ45/J$2*100000</f>
        <v>0</v>
      </c>
      <c r="K46" s="207">
        <f>Data!CK45/K$2*100000</f>
        <v>4.4846568676914105</v>
      </c>
      <c r="L46" s="207">
        <f>Data!CL45/L$2*100000</f>
        <v>6.8385420228407305</v>
      </c>
      <c r="M46" s="207">
        <f>Data!CM45/M$2*100000</f>
        <v>4.5942792035357574</v>
      </c>
      <c r="N46" s="207">
        <f>Data!CN45/N$2*100000</f>
        <v>20.091079560675059</v>
      </c>
      <c r="O46" s="207">
        <f>Data!CO45/O$2*100000</f>
        <v>11.978302161227948</v>
      </c>
      <c r="P46" s="207">
        <f>Data!CP45/P$2*100000</f>
        <v>13.29474448523772</v>
      </c>
      <c r="Q46" s="207">
        <f>Data!CQ45/Q$2*100000</f>
        <v>10.225181212933718</v>
      </c>
      <c r="R46" s="207">
        <f>Data!CR45/R$2*100000</f>
        <v>9.49972094569722</v>
      </c>
      <c r="S46" s="207">
        <f>Data!CS45/S$2*100000</f>
        <v>3.7030636680079985</v>
      </c>
      <c r="T46" s="207">
        <f>Data!CT45/T$2*100000</f>
        <v>1.6381089670084856</v>
      </c>
      <c r="U46" s="207">
        <f>Data!CU45/U$2*100000</f>
        <v>0</v>
      </c>
      <c r="V46" s="207">
        <f>Data!BQ45/V$2*100000</f>
        <v>5.6797223700651829</v>
      </c>
      <c r="W46" s="192"/>
    </row>
    <row r="47" spans="1:23" ht="12" customHeight="1">
      <c r="A47" s="192"/>
      <c r="B47" s="187" t="str">
        <f>UPPER(LEFT(TRIM(Data!B46),1)) &amp; MID(TRIM(Data!B46),2,50)</f>
        <v>Gimdos kaklelio in situ</v>
      </c>
      <c r="C47" s="188" t="str">
        <f>Data!C46</f>
        <v>D06</v>
      </c>
      <c r="D47" s="209">
        <f>Data!CD46/D$2*100000</f>
        <v>0</v>
      </c>
      <c r="E47" s="209">
        <f>Data!CE46/E$2*100000</f>
        <v>0</v>
      </c>
      <c r="F47" s="209">
        <f>Data!CF46/F$2*100000</f>
        <v>0</v>
      </c>
      <c r="G47" s="209">
        <f>Data!CG46/G$2*100000</f>
        <v>0</v>
      </c>
      <c r="H47" s="209">
        <f>Data!CH46/H$2*100000</f>
        <v>12.23740566999796</v>
      </c>
      <c r="I47" s="209">
        <f>Data!CI46/I$2*100000</f>
        <v>151.34953333893887</v>
      </c>
      <c r="J47" s="209">
        <f>Data!CJ46/J$2*100000</f>
        <v>185.68727073887587</v>
      </c>
      <c r="K47" s="209">
        <f>Data!CK46/K$2*100000</f>
        <v>143.50901976612514</v>
      </c>
      <c r="L47" s="209">
        <f>Data!CL46/L$2*100000</f>
        <v>77.177831400631092</v>
      </c>
      <c r="M47" s="209">
        <f>Data!CM46/M$2*100000</f>
        <v>51.455927079600478</v>
      </c>
      <c r="N47" s="209">
        <f>Data!CN46/N$2*100000</f>
        <v>31.810875971068846</v>
      </c>
      <c r="O47" s="209">
        <f>Data!CO46/O$2*100000</f>
        <v>24.812197333972179</v>
      </c>
      <c r="P47" s="209">
        <f>Data!CP46/P$2*100000</f>
        <v>3.0680179581317817</v>
      </c>
      <c r="Q47" s="209">
        <f>Data!CQ46/Q$2*100000</f>
        <v>2.2722624917630485</v>
      </c>
      <c r="R47" s="209">
        <f>Data!CR46/R$2*100000</f>
        <v>2.374930236424305</v>
      </c>
      <c r="S47" s="209">
        <f>Data!CS46/S$2*100000</f>
        <v>2.4687091120053326</v>
      </c>
      <c r="T47" s="209">
        <f>Data!CT46/T$2*100000</f>
        <v>4.914326901025456</v>
      </c>
      <c r="U47" s="209">
        <f>Data!CU46/U$2*100000</f>
        <v>0</v>
      </c>
      <c r="V47" s="209">
        <f>Data!BQ46/V$2*100000</f>
        <v>42.183106591158271</v>
      </c>
      <c r="W47" s="192"/>
    </row>
    <row r="48" spans="1:23" ht="12" customHeight="1">
      <c r="A48" s="192"/>
      <c r="B48" s="201" t="str">
        <f>UPPER(LEFT(TRIM(Data!B47),1)) &amp; MID(TRIM(Data!B47),2,50)</f>
        <v>Šlapimo pūslės in situ</v>
      </c>
      <c r="C48" s="202" t="str">
        <f>Data!C47</f>
        <v>D09.0</v>
      </c>
      <c r="D48" s="207">
        <f>Data!CD47/D$2*100000</f>
        <v>0</v>
      </c>
      <c r="E48" s="207">
        <f>Data!CE47/E$2*100000</f>
        <v>0</v>
      </c>
      <c r="F48" s="207">
        <f>Data!CF47/F$2*100000</f>
        <v>0</v>
      </c>
      <c r="G48" s="207">
        <f>Data!CG47/G$2*100000</f>
        <v>1.2372868773353791</v>
      </c>
      <c r="H48" s="207">
        <f>Data!CH47/H$2*100000</f>
        <v>0</v>
      </c>
      <c r="I48" s="207">
        <f>Data!CI47/I$2*100000</f>
        <v>0</v>
      </c>
      <c r="J48" s="207">
        <f>Data!CJ47/J$2*100000</f>
        <v>0</v>
      </c>
      <c r="K48" s="207">
        <f>Data!CK47/K$2*100000</f>
        <v>0</v>
      </c>
      <c r="L48" s="207">
        <f>Data!CL47/L$2*100000</f>
        <v>0</v>
      </c>
      <c r="M48" s="207">
        <f>Data!CM47/M$2*100000</f>
        <v>1.8377116814143029</v>
      </c>
      <c r="N48" s="207">
        <f>Data!CN47/N$2*100000</f>
        <v>1.6742566300562551</v>
      </c>
      <c r="O48" s="207">
        <f>Data!CO47/O$2*100000</f>
        <v>3.4223720460651275</v>
      </c>
      <c r="P48" s="207">
        <f>Data!CP47/P$2*100000</f>
        <v>7.1587085689741574</v>
      </c>
      <c r="Q48" s="207">
        <f>Data!CQ47/Q$2*100000</f>
        <v>6.8167874752891464</v>
      </c>
      <c r="R48" s="207">
        <f>Data!CR47/R$2*100000</f>
        <v>3.5623953546364575</v>
      </c>
      <c r="S48" s="207">
        <f>Data!CS47/S$2*100000</f>
        <v>9.8748364480213304</v>
      </c>
      <c r="T48" s="207">
        <f>Data!CT47/T$2*100000</f>
        <v>6.5524358680339425</v>
      </c>
      <c r="U48" s="207">
        <f>Data!CU47/U$2*100000</f>
        <v>4.056959714390036</v>
      </c>
      <c r="V48" s="207">
        <f>Data!BQ47/V$2*100000</f>
        <v>2.4888671059836196</v>
      </c>
      <c r="W48" s="192"/>
    </row>
    <row r="49" spans="1:23" ht="12" customHeight="1">
      <c r="A49" s="192"/>
      <c r="B49" s="187" t="str">
        <f>UPPER(LEFT(TRIM(Data!B48),1)) &amp; MID(TRIM(Data!B48),2,50)</f>
        <v>Nervų sistemos gerybiniai navikai</v>
      </c>
      <c r="C49" s="188" t="str">
        <f>Data!C48</f>
        <v>D32, D33</v>
      </c>
      <c r="D49" s="209">
        <f>Data!CD48/D$2*100000</f>
        <v>2.7183885392739184</v>
      </c>
      <c r="E49" s="209">
        <f>Data!CE48/E$2*100000</f>
        <v>0</v>
      </c>
      <c r="F49" s="209">
        <f>Data!CF48/F$2*100000</f>
        <v>1.5291922806373675</v>
      </c>
      <c r="G49" s="209">
        <f>Data!CG48/G$2*100000</f>
        <v>0</v>
      </c>
      <c r="H49" s="209">
        <f>Data!CH48/H$2*100000</f>
        <v>1.0197838058331634</v>
      </c>
      <c r="I49" s="209">
        <f>Data!CI48/I$2*100000</f>
        <v>1.0510384259648533</v>
      </c>
      <c r="J49" s="209">
        <f>Data!CJ48/J$2*100000</f>
        <v>1.1391857100544531</v>
      </c>
      <c r="K49" s="209">
        <f>Data!CK48/K$2*100000</f>
        <v>5.6058210846142629</v>
      </c>
      <c r="L49" s="209">
        <f>Data!CL48/L$2*100000</f>
        <v>4.8846728734576645</v>
      </c>
      <c r="M49" s="209">
        <f>Data!CM48/M$2*100000</f>
        <v>5.513135044242909</v>
      </c>
      <c r="N49" s="209">
        <f>Data!CN48/N$2*100000</f>
        <v>14.231181355478167</v>
      </c>
      <c r="O49" s="209">
        <f>Data!CO48/O$2*100000</f>
        <v>11.122709149711666</v>
      </c>
      <c r="P49" s="209">
        <f>Data!CP48/P$2*100000</f>
        <v>21.47612570692247</v>
      </c>
      <c r="Q49" s="209">
        <f>Data!CQ48/Q$2*100000</f>
        <v>20.450362425867436</v>
      </c>
      <c r="R49" s="209">
        <f>Data!CR48/R$2*100000</f>
        <v>28.49916283709166</v>
      </c>
      <c r="S49" s="209">
        <f>Data!CS48/S$2*100000</f>
        <v>23.45273656405066</v>
      </c>
      <c r="T49" s="209">
        <f>Data!CT48/T$2*100000</f>
        <v>14.74298070307637</v>
      </c>
      <c r="U49" s="209">
        <f>Data!CU48/U$2*100000</f>
        <v>10.14239928597509</v>
      </c>
      <c r="V49" s="209">
        <f>Data!BQ48/V$2*100000</f>
        <v>9.444931581681427</v>
      </c>
      <c r="W49" s="192"/>
    </row>
    <row r="50" spans="1:23" ht="12" customHeight="1">
      <c r="A50" s="192"/>
      <c r="B50" s="201" t="str">
        <f>UPPER(LEFT(TRIM(Data!B49),1)) &amp; MID(TRIM(Data!B49),2,50)</f>
        <v>Kiaušidžių</v>
      </c>
      <c r="C50" s="202" t="str">
        <f>Data!C49</f>
        <v>D39.1</v>
      </c>
      <c r="D50" s="207">
        <f>Data!CD49/D$2*100000</f>
        <v>0</v>
      </c>
      <c r="E50" s="207">
        <f>Data!CE49/E$2*100000</f>
        <v>0</v>
      </c>
      <c r="F50" s="207">
        <f>Data!CF49/F$2*100000</f>
        <v>0</v>
      </c>
      <c r="G50" s="207">
        <f>Data!CG49/G$2*100000</f>
        <v>2.4745737546707582</v>
      </c>
      <c r="H50" s="207">
        <f>Data!CH49/H$2*100000</f>
        <v>1.0197838058331634</v>
      </c>
      <c r="I50" s="207">
        <f>Data!CI49/I$2*100000</f>
        <v>3.1531152778945595</v>
      </c>
      <c r="J50" s="207">
        <f>Data!CJ49/J$2*100000</f>
        <v>5.6959285502722654</v>
      </c>
      <c r="K50" s="207">
        <f>Data!CK49/K$2*100000</f>
        <v>11.211642169228526</v>
      </c>
      <c r="L50" s="207">
        <f>Data!CL49/L$2*100000</f>
        <v>5.8616074481491971</v>
      </c>
      <c r="M50" s="207">
        <f>Data!CM49/M$2*100000</f>
        <v>5.513135044242909</v>
      </c>
      <c r="N50" s="207">
        <f>Data!CN49/N$2*100000</f>
        <v>7.5341548352531484</v>
      </c>
      <c r="O50" s="207">
        <f>Data!CO49/O$2*100000</f>
        <v>6.8447440921302549</v>
      </c>
      <c r="P50" s="207">
        <f>Data!CP49/P$2*100000</f>
        <v>4.0906906108423753</v>
      </c>
      <c r="Q50" s="207">
        <f>Data!CQ49/Q$2*100000</f>
        <v>4.544524983526097</v>
      </c>
      <c r="R50" s="207">
        <f>Data!CR49/R$2*100000</f>
        <v>5.9373255910607625</v>
      </c>
      <c r="S50" s="207">
        <f>Data!CS49/S$2*100000</f>
        <v>3.7030636680079985</v>
      </c>
      <c r="T50" s="207">
        <f>Data!CT49/T$2*100000</f>
        <v>1.6381089670084856</v>
      </c>
      <c r="U50" s="207">
        <f>Data!CU49/U$2*100000</f>
        <v>0</v>
      </c>
      <c r="V50" s="207">
        <f>Data!BQ49/V$2*100000</f>
        <v>4.2757460538692946</v>
      </c>
      <c r="W50" s="192"/>
    </row>
    <row r="51" spans="1:23" ht="12" customHeight="1">
      <c r="A51" s="192"/>
      <c r="B51" s="187" t="str">
        <f>UPPER(LEFT(TRIM(Data!B50),1)) &amp; MID(TRIM(Data!B50),2,50)</f>
        <v>Kiti nervų sistemos</v>
      </c>
      <c r="C51" s="188" t="str">
        <f>Data!C50</f>
        <v>D42, D43</v>
      </c>
      <c r="D51" s="209">
        <f>Data!CD50/D$2*100000</f>
        <v>1.3591942696369592</v>
      </c>
      <c r="E51" s="209">
        <f>Data!CE50/E$2*100000</f>
        <v>0</v>
      </c>
      <c r="F51" s="209">
        <f>Data!CF50/F$2*100000</f>
        <v>1.5291922806373675</v>
      </c>
      <c r="G51" s="209">
        <f>Data!CG50/G$2*100000</f>
        <v>0</v>
      </c>
      <c r="H51" s="209">
        <f>Data!CH50/H$2*100000</f>
        <v>0</v>
      </c>
      <c r="I51" s="209">
        <f>Data!CI50/I$2*100000</f>
        <v>0</v>
      </c>
      <c r="J51" s="209">
        <f>Data!CJ50/J$2*100000</f>
        <v>0</v>
      </c>
      <c r="K51" s="209">
        <f>Data!CK50/K$2*100000</f>
        <v>1.1211642169228526</v>
      </c>
      <c r="L51" s="209">
        <f>Data!CL50/L$2*100000</f>
        <v>0</v>
      </c>
      <c r="M51" s="209">
        <f>Data!CM50/M$2*100000</f>
        <v>0.91885584070715143</v>
      </c>
      <c r="N51" s="209">
        <f>Data!CN50/N$2*100000</f>
        <v>0.83712831502812757</v>
      </c>
      <c r="O51" s="209">
        <f>Data!CO50/O$2*100000</f>
        <v>2.5667790345488455</v>
      </c>
      <c r="P51" s="209">
        <f>Data!CP50/P$2*100000</f>
        <v>3.0680179581317817</v>
      </c>
      <c r="Q51" s="209">
        <f>Data!CQ50/Q$2*100000</f>
        <v>3.4083937376445732</v>
      </c>
      <c r="R51" s="209">
        <f>Data!CR50/R$2*100000</f>
        <v>4.74986047284861</v>
      </c>
      <c r="S51" s="209">
        <f>Data!CS50/S$2*100000</f>
        <v>2.4687091120053326</v>
      </c>
      <c r="T51" s="209">
        <f>Data!CT50/T$2*100000</f>
        <v>8.1905448350424273</v>
      </c>
      <c r="U51" s="209">
        <f>Data!CU50/U$2*100000</f>
        <v>10.14239928597509</v>
      </c>
      <c r="V51" s="209">
        <f>Data!BQ50/V$2*100000</f>
        <v>1.9145131584489381</v>
      </c>
      <c r="W51" s="192"/>
    </row>
    <row r="52" spans="1:23" ht="12" customHeight="1">
      <c r="A52" s="192"/>
      <c r="B52" s="201" t="str">
        <f>UPPER(LEFT(TRIM(Data!B51),1)) &amp; MID(TRIM(Data!B51),2,50)</f>
        <v>Limfinio ir kraujodaros audinių</v>
      </c>
      <c r="C52" s="202" t="str">
        <f>Data!C51</f>
        <v>D45-D47</v>
      </c>
      <c r="D52" s="207">
        <f>Data!CD51/D$2*100000</f>
        <v>0</v>
      </c>
      <c r="E52" s="207">
        <f>Data!CE51/E$2*100000</f>
        <v>0</v>
      </c>
      <c r="F52" s="207">
        <f>Data!CF51/F$2*100000</f>
        <v>1.5291922806373675</v>
      </c>
      <c r="G52" s="207">
        <f>Data!CG51/G$2*100000</f>
        <v>0</v>
      </c>
      <c r="H52" s="207">
        <f>Data!CH51/H$2*100000</f>
        <v>2.0395676116663268</v>
      </c>
      <c r="I52" s="207">
        <f>Data!CI51/I$2*100000</f>
        <v>1.0510384259648533</v>
      </c>
      <c r="J52" s="207">
        <f>Data!CJ51/J$2*100000</f>
        <v>9.113485680435625</v>
      </c>
      <c r="K52" s="207">
        <f>Data!CK51/K$2*100000</f>
        <v>6.7269853015371153</v>
      </c>
      <c r="L52" s="207">
        <f>Data!CL51/L$2*100000</f>
        <v>5.8616074481491971</v>
      </c>
      <c r="M52" s="207">
        <f>Data!CM51/M$2*100000</f>
        <v>6.4319908849500598</v>
      </c>
      <c r="N52" s="207">
        <f>Data!CN51/N$2*100000</f>
        <v>4.1856415751406368</v>
      </c>
      <c r="O52" s="207">
        <f>Data!CO51/O$2*100000</f>
        <v>16.256267218809356</v>
      </c>
      <c r="P52" s="207">
        <f>Data!CP51/P$2*100000</f>
        <v>22.498798359633064</v>
      </c>
      <c r="Q52" s="207">
        <f>Data!CQ51/Q$2*100000</f>
        <v>31.811674884682681</v>
      </c>
      <c r="R52" s="207">
        <f>Data!CR51/R$2*100000</f>
        <v>43.936209373849643</v>
      </c>
      <c r="S52" s="207">
        <f>Data!CS51/S$2*100000</f>
        <v>38.264991236082651</v>
      </c>
      <c r="T52" s="207">
        <f>Data!CT51/T$2*100000</f>
        <v>57.333813845296987</v>
      </c>
      <c r="U52" s="207">
        <f>Data!CU51/U$2*100000</f>
        <v>58.825915858655527</v>
      </c>
      <c r="V52" s="207">
        <f>Data!BQ51/V$2*100000</f>
        <v>15.124653951746611</v>
      </c>
      <c r="W52" s="192"/>
    </row>
    <row r="53" spans="1:23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</row>
    <row r="54" spans="1:23">
      <c r="A54" s="192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</row>
    <row r="55" spans="1:23">
      <c r="A55" s="192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</row>
  </sheetData>
  <mergeCells count="4">
    <mergeCell ref="B5:B6"/>
    <mergeCell ref="C5:C6"/>
    <mergeCell ref="D5:U5"/>
    <mergeCell ref="V5:V6"/>
  </mergeCells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C000"/>
  </sheetPr>
  <dimension ref="A1:AC81"/>
  <sheetViews>
    <sheetView zoomScaleNormal="100" workbookViewId="0">
      <selection activeCell="E1" sqref="E1"/>
    </sheetView>
  </sheetViews>
  <sheetFormatPr defaultRowHeight="12.75"/>
  <cols>
    <col min="1" max="1" width="6.7109375" style="83" customWidth="1"/>
    <col min="2" max="2" width="0.140625" style="83" customWidth="1"/>
    <col min="3" max="6" width="7.7109375" style="83" customWidth="1"/>
    <col min="7" max="7" width="4.7109375" style="83" customWidth="1"/>
    <col min="8" max="8" width="10.7109375" style="83" customWidth="1"/>
    <col min="9" max="9" width="7.7109375" style="83" customWidth="1"/>
    <col min="10" max="10" width="0.85546875" style="83" customWidth="1"/>
    <col min="11" max="11" width="2.7109375" style="83" customWidth="1"/>
    <col min="12" max="12" width="0.85546875" style="83" customWidth="1"/>
    <col min="13" max="16" width="7.7109375" style="83" customWidth="1"/>
    <col min="17" max="17" width="4.7109375" style="83" customWidth="1"/>
    <col min="18" max="18" width="10.7109375" style="83" customWidth="1"/>
    <col min="19" max="19" width="7.7109375" style="83" customWidth="1"/>
    <col min="20" max="20" width="0.140625" style="83" customWidth="1"/>
    <col min="21" max="21" width="7.7109375" style="83" customWidth="1"/>
    <col min="22" max="22" width="9.140625" style="83"/>
    <col min="23" max="23" width="24" style="83" bestFit="1" customWidth="1"/>
    <col min="24" max="24" width="5" style="83" bestFit="1" customWidth="1"/>
    <col min="25" max="25" width="5.7109375" style="83" bestFit="1" customWidth="1"/>
    <col min="26" max="26" width="8.5703125" style="83" bestFit="1" customWidth="1"/>
    <col min="27" max="27" width="24" style="83" bestFit="1" customWidth="1"/>
    <col min="28" max="28" width="5" style="83" bestFit="1" customWidth="1"/>
    <col min="29" max="29" width="5.7109375" style="83" bestFit="1" customWidth="1"/>
    <col min="30" max="16384" width="9.140625" style="83"/>
  </cols>
  <sheetData>
    <row r="1" spans="1:29" ht="20.100000000000001" customHeight="1">
      <c r="A1" s="439">
        <v>2015</v>
      </c>
      <c r="B1" s="439"/>
      <c r="C1" s="439" t="s">
        <v>406</v>
      </c>
      <c r="E1" s="82" t="s">
        <v>617</v>
      </c>
      <c r="H1" s="440" t="s">
        <v>407</v>
      </c>
      <c r="K1" s="343"/>
      <c r="L1" s="343"/>
      <c r="M1" s="343"/>
      <c r="N1" s="343"/>
      <c r="O1" s="343"/>
      <c r="P1" s="343"/>
      <c r="Q1" s="343"/>
      <c r="R1" s="343"/>
      <c r="V1" s="343"/>
      <c r="W1" s="544" t="s">
        <v>481</v>
      </c>
      <c r="X1" s="544"/>
      <c r="Y1" s="544"/>
      <c r="Z1" s="343"/>
      <c r="AA1" s="544" t="s">
        <v>484</v>
      </c>
      <c r="AB1" s="544"/>
      <c r="AC1" s="544"/>
    </row>
    <row r="2" spans="1:29" ht="20.100000000000001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343"/>
      <c r="W2" s="343" t="s">
        <v>26</v>
      </c>
      <c r="X2" s="343">
        <v>2770</v>
      </c>
      <c r="Y2" s="344">
        <v>0.33185575655924282</v>
      </c>
      <c r="Z2" s="343"/>
      <c r="AA2" s="343" t="s">
        <v>26</v>
      </c>
      <c r="AB2" s="343">
        <v>269</v>
      </c>
      <c r="AC2" s="344">
        <v>0.29081081081081084</v>
      </c>
    </row>
    <row r="3" spans="1:29" ht="24.95" customHeight="1">
      <c r="A3" s="85"/>
      <c r="B3" s="85"/>
      <c r="C3" s="545" t="str">
        <f>W1</f>
        <v>Vyrai ir moterys, visos amžiaus grupės (8347 atv.)</v>
      </c>
      <c r="D3" s="545"/>
      <c r="E3" s="545"/>
      <c r="F3" s="545"/>
      <c r="G3" s="545"/>
      <c r="H3" s="545"/>
      <c r="I3" s="545"/>
      <c r="J3" s="212"/>
      <c r="K3" s="85"/>
      <c r="L3" s="85"/>
      <c r="M3" s="545" t="str">
        <f>AA1</f>
        <v>Vyrai ir moterys, 30-54 metų (925 atv.)</v>
      </c>
      <c r="N3" s="545"/>
      <c r="O3" s="545"/>
      <c r="P3" s="545"/>
      <c r="Q3" s="545"/>
      <c r="R3" s="545"/>
      <c r="S3" s="545"/>
      <c r="T3" s="85"/>
      <c r="U3" s="85"/>
      <c r="V3" s="343"/>
      <c r="W3" s="343" t="s">
        <v>211</v>
      </c>
      <c r="X3" s="343">
        <v>289</v>
      </c>
      <c r="Y3" s="344">
        <v>3.4623217922606926E-2</v>
      </c>
      <c r="Z3" s="343"/>
      <c r="AA3" s="343" t="s">
        <v>422</v>
      </c>
      <c r="AB3" s="343">
        <v>28</v>
      </c>
      <c r="AC3" s="344">
        <v>3.027027027027027E-2</v>
      </c>
    </row>
    <row r="4" spans="1:29" ht="20.100000000000001" customHeight="1">
      <c r="A4" s="85"/>
      <c r="B4" s="85"/>
      <c r="C4" s="85"/>
      <c r="D4" s="85"/>
      <c r="E4" s="85"/>
      <c r="F4" s="85"/>
      <c r="G4" s="85"/>
      <c r="H4" s="85"/>
      <c r="I4" s="87" t="str">
        <f>W12</f>
        <v>Plaučių, trachėjos, bronchų</v>
      </c>
      <c r="J4" s="87"/>
      <c r="K4" s="85"/>
      <c r="L4" s="85"/>
      <c r="M4" s="85"/>
      <c r="N4" s="85"/>
      <c r="O4" s="85"/>
      <c r="P4" s="85"/>
      <c r="Q4" s="85"/>
      <c r="R4" s="85"/>
      <c r="S4" s="87" t="str">
        <f>AA12</f>
        <v>Plaučių, trachėjos, bronchų</v>
      </c>
      <c r="T4" s="85"/>
      <c r="U4" s="85"/>
      <c r="V4" s="343"/>
      <c r="W4" s="343" t="s">
        <v>213</v>
      </c>
      <c r="X4" s="343">
        <v>290</v>
      </c>
      <c r="Y4" s="344">
        <v>3.4743021444830477E-2</v>
      </c>
      <c r="Z4" s="343"/>
      <c r="AA4" s="343" t="s">
        <v>212</v>
      </c>
      <c r="AB4" s="343">
        <v>35</v>
      </c>
      <c r="AC4" s="344">
        <v>3.783783783783784E-2</v>
      </c>
    </row>
    <row r="5" spans="1:29" ht="20.100000000000001" customHeight="1">
      <c r="A5" s="85"/>
      <c r="B5" s="85"/>
      <c r="C5" s="85"/>
      <c r="D5" s="85"/>
      <c r="E5" s="85"/>
      <c r="F5" s="85"/>
      <c r="G5" s="85"/>
      <c r="H5" s="85"/>
      <c r="I5" s="87" t="str">
        <f>W11</f>
        <v>Skrandžio</v>
      </c>
      <c r="J5" s="87"/>
      <c r="K5" s="85"/>
      <c r="L5" s="85"/>
      <c r="M5" s="85"/>
      <c r="N5" s="85"/>
      <c r="O5" s="85"/>
      <c r="P5" s="85"/>
      <c r="Q5" s="85"/>
      <c r="R5" s="85"/>
      <c r="S5" s="87" t="str">
        <f>AA11</f>
        <v>Krūties</v>
      </c>
      <c r="T5" s="85"/>
      <c r="U5" s="85"/>
      <c r="V5" s="343"/>
      <c r="W5" s="343" t="s">
        <v>237</v>
      </c>
      <c r="X5" s="343">
        <v>401</v>
      </c>
      <c r="Y5" s="344">
        <v>4.8041212411644905E-2</v>
      </c>
      <c r="Z5" s="343"/>
      <c r="AA5" s="343" t="s">
        <v>219</v>
      </c>
      <c r="AB5" s="343">
        <v>43</v>
      </c>
      <c r="AC5" s="344">
        <v>4.6486486486486484E-2</v>
      </c>
    </row>
    <row r="6" spans="1:29" ht="20.100000000000001" customHeight="1">
      <c r="A6" s="85"/>
      <c r="B6" s="85"/>
      <c r="C6" s="85"/>
      <c r="D6" s="85"/>
      <c r="E6" s="85"/>
      <c r="F6" s="85"/>
      <c r="G6" s="85"/>
      <c r="H6" s="85"/>
      <c r="I6" s="87" t="str">
        <f>W10</f>
        <v>Krūties</v>
      </c>
      <c r="J6" s="87"/>
      <c r="K6" s="85"/>
      <c r="L6" s="85"/>
      <c r="M6" s="85"/>
      <c r="N6" s="85"/>
      <c r="O6" s="85"/>
      <c r="P6" s="85"/>
      <c r="Q6" s="85"/>
      <c r="R6" s="85"/>
      <c r="S6" s="87" t="str">
        <f>AA10</f>
        <v>Skrandžio</v>
      </c>
      <c r="T6" s="85"/>
      <c r="U6" s="85"/>
      <c r="V6" s="343"/>
      <c r="W6" s="343" t="s">
        <v>212</v>
      </c>
      <c r="X6" s="343">
        <v>440</v>
      </c>
      <c r="Y6" s="344">
        <v>5.2713549778363483E-2</v>
      </c>
      <c r="Z6" s="343"/>
      <c r="AA6" s="343" t="s">
        <v>225</v>
      </c>
      <c r="AB6" s="343">
        <v>47</v>
      </c>
      <c r="AC6" s="344">
        <v>5.0810810810810812E-2</v>
      </c>
    </row>
    <row r="7" spans="1:29" ht="20.100000000000001" customHeight="1">
      <c r="A7" s="85"/>
      <c r="B7" s="85"/>
      <c r="C7" s="85"/>
      <c r="D7" s="85"/>
      <c r="E7" s="85"/>
      <c r="F7" s="85"/>
      <c r="G7" s="85"/>
      <c r="H7" s="85"/>
      <c r="I7" s="87" t="str">
        <f>W9</f>
        <v>Priešinės liaukos</v>
      </c>
      <c r="J7" s="87"/>
      <c r="K7" s="85"/>
      <c r="L7" s="85"/>
      <c r="M7" s="85"/>
      <c r="N7" s="85"/>
      <c r="O7" s="85"/>
      <c r="P7" s="85"/>
      <c r="Q7" s="85"/>
      <c r="R7" s="85"/>
      <c r="S7" s="87" t="str">
        <f>AA9</f>
        <v>Burnos ertmės ir ryklės</v>
      </c>
      <c r="T7" s="85"/>
      <c r="U7" s="85"/>
      <c r="V7" s="343"/>
      <c r="W7" s="343" t="s">
        <v>219</v>
      </c>
      <c r="X7" s="343">
        <v>469</v>
      </c>
      <c r="Y7" s="344">
        <v>5.6187851922846532E-2</v>
      </c>
      <c r="Z7" s="343"/>
      <c r="AA7" s="343" t="s">
        <v>231</v>
      </c>
      <c r="AB7" s="343">
        <v>49</v>
      </c>
      <c r="AC7" s="344">
        <v>5.2972972972972973E-2</v>
      </c>
    </row>
    <row r="8" spans="1:29" ht="20.100000000000001" customHeight="1">
      <c r="A8" s="85"/>
      <c r="B8" s="85"/>
      <c r="C8" s="85"/>
      <c r="D8" s="85"/>
      <c r="E8" s="85"/>
      <c r="F8" s="85"/>
      <c r="G8" s="85"/>
      <c r="H8" s="85"/>
      <c r="I8" s="87" t="str">
        <f>W8</f>
        <v>Gaubtinės žarnos</v>
      </c>
      <c r="J8" s="87"/>
      <c r="K8" s="85"/>
      <c r="L8" s="85"/>
      <c r="M8" s="85"/>
      <c r="N8" s="85"/>
      <c r="O8" s="85"/>
      <c r="P8" s="85"/>
      <c r="Q8" s="85"/>
      <c r="R8" s="85"/>
      <c r="S8" s="87" t="str">
        <f>AA8</f>
        <v>Gimdos kaklelio</v>
      </c>
      <c r="T8" s="85"/>
      <c r="U8" s="85"/>
      <c r="V8" s="343"/>
      <c r="W8" s="343" t="s">
        <v>214</v>
      </c>
      <c r="X8" s="343">
        <v>542</v>
      </c>
      <c r="Y8" s="344">
        <v>6.4933509045165927E-2</v>
      </c>
      <c r="Z8" s="343"/>
      <c r="AA8" s="343" t="s">
        <v>232</v>
      </c>
      <c r="AB8" s="343">
        <v>66</v>
      </c>
      <c r="AC8" s="344">
        <v>7.1351351351351358E-2</v>
      </c>
    </row>
    <row r="9" spans="1:29" ht="20.100000000000001" customHeight="1">
      <c r="A9" s="85"/>
      <c r="B9" s="85"/>
      <c r="C9" s="85"/>
      <c r="D9" s="85"/>
      <c r="E9" s="85"/>
      <c r="F9" s="85"/>
      <c r="G9" s="85"/>
      <c r="H9" s="85"/>
      <c r="I9" s="87" t="str">
        <f>W7</f>
        <v>Kasos</v>
      </c>
      <c r="J9" s="87"/>
      <c r="K9" s="85"/>
      <c r="L9" s="85"/>
      <c r="M9" s="85"/>
      <c r="N9" s="85"/>
      <c r="O9" s="85"/>
      <c r="P9" s="85"/>
      <c r="Q9" s="85"/>
      <c r="R9" s="85"/>
      <c r="S9" s="87" t="str">
        <f>AA7</f>
        <v>Kiaušidžių</v>
      </c>
      <c r="T9" s="85"/>
      <c r="U9" s="85"/>
      <c r="V9" s="343"/>
      <c r="W9" s="343" t="s">
        <v>218</v>
      </c>
      <c r="X9" s="343">
        <v>544</v>
      </c>
      <c r="Y9" s="344">
        <v>6.5173116089613028E-2</v>
      </c>
      <c r="Z9" s="343"/>
      <c r="AA9" s="343" t="s">
        <v>211</v>
      </c>
      <c r="AB9" s="343">
        <v>82</v>
      </c>
      <c r="AC9" s="344">
        <v>8.8648648648648645E-2</v>
      </c>
    </row>
    <row r="10" spans="1:29" ht="20.100000000000001" customHeight="1">
      <c r="A10" s="85"/>
      <c r="B10" s="85"/>
      <c r="C10" s="85"/>
      <c r="D10" s="85"/>
      <c r="E10" s="85"/>
      <c r="F10" s="85"/>
      <c r="G10" s="85"/>
      <c r="H10" s="85"/>
      <c r="I10" s="87" t="str">
        <f>W6</f>
        <v>Tiesiosios žarnos, išangės</v>
      </c>
      <c r="J10" s="87"/>
      <c r="K10" s="85"/>
      <c r="L10" s="85"/>
      <c r="M10" s="85"/>
      <c r="N10" s="85"/>
      <c r="O10" s="85"/>
      <c r="P10" s="85"/>
      <c r="Q10" s="85"/>
      <c r="R10" s="85"/>
      <c r="S10" s="87" t="str">
        <f>AA6</f>
        <v>Smegenų</v>
      </c>
      <c r="T10" s="85"/>
      <c r="U10" s="85"/>
      <c r="V10" s="343"/>
      <c r="W10" s="343" t="s">
        <v>234</v>
      </c>
      <c r="X10" s="343">
        <v>575</v>
      </c>
      <c r="Y10" s="344">
        <v>6.8887025278543193E-2</v>
      </c>
      <c r="Z10" s="343"/>
      <c r="AA10" s="343" t="s">
        <v>215</v>
      </c>
      <c r="AB10" s="343">
        <v>87</v>
      </c>
      <c r="AC10" s="344">
        <v>9.4054054054054051E-2</v>
      </c>
    </row>
    <row r="11" spans="1:29" ht="20.100000000000001" customHeight="1">
      <c r="A11" s="85"/>
      <c r="B11" s="85"/>
      <c r="C11" s="85"/>
      <c r="D11" s="85"/>
      <c r="E11" s="85"/>
      <c r="F11" s="85"/>
      <c r="G11" s="85"/>
      <c r="H11" s="85"/>
      <c r="I11" s="87" t="str">
        <f>W5</f>
        <v>Nepatikslintos lokalizacijos</v>
      </c>
      <c r="J11" s="87"/>
      <c r="K11" s="85"/>
      <c r="L11" s="85"/>
      <c r="M11" s="85"/>
      <c r="N11" s="85"/>
      <c r="O11" s="85"/>
      <c r="P11" s="85"/>
      <c r="Q11" s="85"/>
      <c r="R11" s="85"/>
      <c r="S11" s="87" t="str">
        <f>AA5</f>
        <v>Kasos</v>
      </c>
      <c r="T11" s="85"/>
      <c r="U11" s="85"/>
      <c r="V11" s="343"/>
      <c r="W11" s="343" t="s">
        <v>215</v>
      </c>
      <c r="X11" s="343">
        <v>681</v>
      </c>
      <c r="Y11" s="344">
        <v>8.158619863423984E-2</v>
      </c>
      <c r="Z11" s="343"/>
      <c r="AA11" s="343" t="s">
        <v>234</v>
      </c>
      <c r="AB11" s="343">
        <v>100</v>
      </c>
      <c r="AC11" s="344">
        <v>0.10810810810810811</v>
      </c>
    </row>
    <row r="12" spans="1:29" ht="20.100000000000001" customHeight="1">
      <c r="A12" s="85"/>
      <c r="B12" s="85"/>
      <c r="C12" s="85"/>
      <c r="D12" s="85"/>
      <c r="E12" s="85"/>
      <c r="F12" s="85"/>
      <c r="G12" s="85"/>
      <c r="H12" s="85"/>
      <c r="I12" s="87" t="str">
        <f>W4</f>
        <v>Inkstų</v>
      </c>
      <c r="J12" s="87"/>
      <c r="K12" s="85"/>
      <c r="L12" s="85"/>
      <c r="M12" s="85"/>
      <c r="N12" s="85"/>
      <c r="O12" s="85"/>
      <c r="P12" s="85"/>
      <c r="Q12" s="85"/>
      <c r="R12" s="85"/>
      <c r="S12" s="87" t="str">
        <f>AA4</f>
        <v>Tiesiosios žarnos, išangės</v>
      </c>
      <c r="T12" s="85"/>
      <c r="U12" s="85"/>
      <c r="V12" s="343"/>
      <c r="W12" s="343" t="s">
        <v>217</v>
      </c>
      <c r="X12" s="343">
        <v>1346</v>
      </c>
      <c r="Y12" s="344">
        <v>0.16125554091290284</v>
      </c>
      <c r="Z12" s="343"/>
      <c r="AA12" s="343" t="s">
        <v>217</v>
      </c>
      <c r="AB12" s="343">
        <v>119</v>
      </c>
      <c r="AC12" s="344">
        <v>0.12864864864864864</v>
      </c>
    </row>
    <row r="13" spans="1:29" ht="20.100000000000001" customHeight="1">
      <c r="A13" s="85"/>
      <c r="B13" s="85"/>
      <c r="C13" s="85"/>
      <c r="D13" s="85"/>
      <c r="E13" s="85"/>
      <c r="F13" s="85"/>
      <c r="G13" s="85"/>
      <c r="H13" s="85"/>
      <c r="I13" s="87" t="str">
        <f>W3</f>
        <v>Burnos ertmės ir ryklės</v>
      </c>
      <c r="J13" s="87"/>
      <c r="K13" s="85"/>
      <c r="L13" s="85"/>
      <c r="M13" s="85"/>
      <c r="N13" s="85"/>
      <c r="O13" s="85"/>
      <c r="P13" s="85"/>
      <c r="Q13" s="85"/>
      <c r="R13" s="85"/>
      <c r="S13" s="87" t="str">
        <f>AA3</f>
        <v>Stemplės</v>
      </c>
      <c r="T13" s="85"/>
      <c r="U13" s="85"/>
      <c r="V13" s="343"/>
      <c r="W13" s="345" t="s">
        <v>210</v>
      </c>
      <c r="X13" s="343">
        <v>8347</v>
      </c>
      <c r="Y13" s="344">
        <v>1</v>
      </c>
      <c r="Z13" s="343"/>
      <c r="AA13" s="345" t="s">
        <v>210</v>
      </c>
      <c r="AB13" s="343">
        <v>925</v>
      </c>
      <c r="AC13" s="344">
        <v>1</v>
      </c>
    </row>
    <row r="14" spans="1:29" ht="20.100000000000001" customHeight="1">
      <c r="A14" s="85"/>
      <c r="B14" s="85"/>
      <c r="C14" s="85"/>
      <c r="D14" s="85"/>
      <c r="E14" s="85"/>
      <c r="F14" s="85"/>
      <c r="G14" s="85"/>
      <c r="H14" s="85"/>
      <c r="I14" s="87" t="str">
        <f>W2</f>
        <v>Kiti</v>
      </c>
      <c r="J14" s="87"/>
      <c r="K14" s="85"/>
      <c r="L14" s="85"/>
      <c r="M14" s="85"/>
      <c r="N14" s="85"/>
      <c r="O14" s="85"/>
      <c r="P14" s="85"/>
      <c r="Q14" s="85"/>
      <c r="R14" s="85"/>
      <c r="S14" s="87" t="str">
        <f>AA2</f>
        <v>Kiti</v>
      </c>
      <c r="T14" s="85"/>
      <c r="U14" s="85"/>
      <c r="V14" s="343"/>
      <c r="W14" s="544" t="s">
        <v>482</v>
      </c>
      <c r="X14" s="544"/>
      <c r="Y14" s="544"/>
      <c r="Z14" s="343"/>
      <c r="AA14" s="544" t="s">
        <v>485</v>
      </c>
      <c r="AB14" s="544"/>
      <c r="AC14" s="544"/>
    </row>
    <row r="15" spans="1:29" ht="24.95" customHeight="1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343"/>
      <c r="W15" s="343"/>
      <c r="X15" s="343"/>
      <c r="Y15" s="346"/>
      <c r="Z15" s="343"/>
      <c r="AA15" s="343" t="s">
        <v>26</v>
      </c>
      <c r="AB15" s="343">
        <v>1246</v>
      </c>
      <c r="AC15" s="348">
        <v>0.31891476836447402</v>
      </c>
    </row>
    <row r="16" spans="1:29" ht="24.95" customHeight="1">
      <c r="A16" s="85"/>
      <c r="B16" s="85"/>
      <c r="C16" s="545" t="str">
        <f>W14</f>
        <v>Vyrai ir moterys, 0-14 metų (13 atv.)</v>
      </c>
      <c r="D16" s="545"/>
      <c r="E16" s="545"/>
      <c r="F16" s="545"/>
      <c r="G16" s="545"/>
      <c r="H16" s="545"/>
      <c r="I16" s="545"/>
      <c r="J16" s="212"/>
      <c r="K16" s="85"/>
      <c r="L16" s="85"/>
      <c r="M16" s="545" t="str">
        <f>AA14</f>
        <v>Vyrai ir moterys, 55-74 metų (3907 atv.)</v>
      </c>
      <c r="N16" s="545"/>
      <c r="O16" s="545"/>
      <c r="P16" s="545"/>
      <c r="Q16" s="545"/>
      <c r="R16" s="545"/>
      <c r="S16" s="545"/>
      <c r="T16" s="85"/>
      <c r="U16" s="85"/>
      <c r="V16" s="343"/>
      <c r="W16" s="343"/>
      <c r="X16" s="343"/>
      <c r="Y16" s="346"/>
      <c r="Z16" s="343"/>
      <c r="AA16" s="318" t="s">
        <v>213</v>
      </c>
      <c r="AB16" s="347">
        <v>137</v>
      </c>
      <c r="AC16" s="344">
        <v>3.5065267468646022E-2</v>
      </c>
    </row>
    <row r="17" spans="1:29" ht="20.100000000000001" customHeight="1">
      <c r="A17" s="85"/>
      <c r="B17" s="85"/>
      <c r="C17" s="85"/>
      <c r="D17" s="85"/>
      <c r="E17" s="85"/>
      <c r="F17" s="85"/>
      <c r="G17" s="85"/>
      <c r="H17" s="85"/>
      <c r="I17" s="87" t="str">
        <f>W25</f>
        <v>Smegenų</v>
      </c>
      <c r="J17" s="87"/>
      <c r="K17" s="85"/>
      <c r="L17" s="85"/>
      <c r="M17" s="85"/>
      <c r="N17" s="85"/>
      <c r="O17" s="85"/>
      <c r="P17" s="85"/>
      <c r="Q17" s="85"/>
      <c r="R17" s="85"/>
      <c r="S17" s="87" t="str">
        <f>AA25</f>
        <v>Plaučių, trachėjos, bronchų</v>
      </c>
      <c r="T17" s="85"/>
      <c r="U17" s="85"/>
      <c r="V17" s="343"/>
      <c r="W17" s="343"/>
      <c r="X17" s="343"/>
      <c r="Y17" s="346"/>
      <c r="Z17" s="343"/>
      <c r="AA17" s="318" t="s">
        <v>211</v>
      </c>
      <c r="AB17" s="347">
        <v>170</v>
      </c>
      <c r="AC17" s="344">
        <v>4.3511645764013313E-2</v>
      </c>
    </row>
    <row r="18" spans="1:29" ht="20.100000000000001" customHeight="1">
      <c r="A18" s="85"/>
      <c r="B18" s="85"/>
      <c r="C18" s="85"/>
      <c r="D18" s="85"/>
      <c r="E18" s="85"/>
      <c r="F18" s="85"/>
      <c r="G18" s="85"/>
      <c r="H18" s="85"/>
      <c r="I18" s="87" t="str">
        <f>W24</f>
        <v>Leukemijos</v>
      </c>
      <c r="J18" s="87"/>
      <c r="K18" s="85"/>
      <c r="L18" s="85"/>
      <c r="M18" s="85"/>
      <c r="N18" s="85"/>
      <c r="O18" s="85"/>
      <c r="P18" s="85"/>
      <c r="Q18" s="85"/>
      <c r="R18" s="85"/>
      <c r="S18" s="87" t="str">
        <f>AA24</f>
        <v>Skrandžio</v>
      </c>
      <c r="T18" s="85"/>
      <c r="U18" s="85"/>
      <c r="V18" s="343"/>
      <c r="W18" s="343"/>
      <c r="X18" s="343"/>
      <c r="Y18" s="346"/>
      <c r="Z18" s="343"/>
      <c r="AA18" s="318" t="s">
        <v>237</v>
      </c>
      <c r="AB18" s="347">
        <v>188</v>
      </c>
      <c r="AC18" s="344">
        <v>4.811876119785001E-2</v>
      </c>
    </row>
    <row r="19" spans="1:29" ht="20.100000000000001" customHeight="1">
      <c r="A19" s="85"/>
      <c r="B19" s="85"/>
      <c r="C19" s="85"/>
      <c r="D19" s="85"/>
      <c r="E19" s="85"/>
      <c r="F19" s="85"/>
      <c r="G19" s="85"/>
      <c r="H19" s="85"/>
      <c r="I19" s="87" t="str">
        <f>W23</f>
        <v>Kaulų ir jungiamojo audinio</v>
      </c>
      <c r="J19" s="87"/>
      <c r="K19" s="85"/>
      <c r="L19" s="85"/>
      <c r="M19" s="85"/>
      <c r="N19" s="85"/>
      <c r="O19" s="85"/>
      <c r="P19" s="85"/>
      <c r="Q19" s="85"/>
      <c r="R19" s="85"/>
      <c r="S19" s="87" t="str">
        <f>AA23</f>
        <v>Krūties</v>
      </c>
      <c r="T19" s="85"/>
      <c r="U19" s="85"/>
      <c r="V19" s="343"/>
      <c r="W19" s="343"/>
      <c r="X19" s="343"/>
      <c r="Y19" s="346"/>
      <c r="Z19" s="343"/>
      <c r="AA19" s="318" t="s">
        <v>212</v>
      </c>
      <c r="AB19" s="347">
        <v>191</v>
      </c>
      <c r="AC19" s="344">
        <v>4.8886613770156129E-2</v>
      </c>
    </row>
    <row r="20" spans="1:29" ht="20.100000000000001" customHeight="1">
      <c r="A20" s="85"/>
      <c r="B20" s="85"/>
      <c r="C20" s="85"/>
      <c r="D20" s="85"/>
      <c r="E20" s="85"/>
      <c r="F20" s="85"/>
      <c r="G20" s="85"/>
      <c r="H20" s="85"/>
      <c r="I20" s="87" t="str">
        <f>W22</f>
        <v>Kitų endokrininių liaukų</v>
      </c>
      <c r="J20" s="87"/>
      <c r="K20" s="85"/>
      <c r="L20" s="85"/>
      <c r="M20" s="85"/>
      <c r="N20" s="85"/>
      <c r="O20" s="85"/>
      <c r="P20" s="85"/>
      <c r="Q20" s="85"/>
      <c r="R20" s="85"/>
      <c r="S20" s="87" t="str">
        <f t="shared" ref="S20:S21" si="0">TEXT(AA18,)</f>
        <v>Nepatikslintos lokalizacijos</v>
      </c>
      <c r="T20" s="85"/>
      <c r="U20" s="85"/>
      <c r="V20" s="343"/>
      <c r="W20" s="343"/>
      <c r="X20" s="343"/>
      <c r="Y20" s="346"/>
      <c r="Z20" s="343"/>
      <c r="AA20" s="318" t="s">
        <v>218</v>
      </c>
      <c r="AB20" s="347">
        <v>194</v>
      </c>
      <c r="AC20" s="344">
        <v>4.9654466342462247E-2</v>
      </c>
    </row>
    <row r="21" spans="1:29" ht="20.100000000000001" customHeight="1">
      <c r="A21" s="85"/>
      <c r="B21" s="85"/>
      <c r="C21" s="85"/>
      <c r="D21" s="85"/>
      <c r="E21" s="85"/>
      <c r="F21" s="85"/>
      <c r="G21" s="85"/>
      <c r="H21" s="85"/>
      <c r="I21" s="87" t="str">
        <f>W21</f>
        <v>Kiti</v>
      </c>
      <c r="J21" s="87"/>
      <c r="K21" s="85"/>
      <c r="L21" s="85"/>
      <c r="M21" s="85"/>
      <c r="N21" s="85"/>
      <c r="O21" s="85"/>
      <c r="P21" s="85"/>
      <c r="Q21" s="85"/>
      <c r="R21" s="85"/>
      <c r="S21" s="87" t="str">
        <f t="shared" si="0"/>
        <v>Tiesiosios žarnos, išangės</v>
      </c>
      <c r="T21" s="85"/>
      <c r="U21" s="85"/>
      <c r="V21" s="343"/>
      <c r="W21" s="343" t="s">
        <v>26</v>
      </c>
      <c r="X21" s="343">
        <v>0</v>
      </c>
      <c r="Y21" s="344">
        <f>VALUE(0.001%)</f>
        <v>1.0000000000000001E-5</v>
      </c>
      <c r="Z21" s="343"/>
      <c r="AA21" s="318" t="s">
        <v>214</v>
      </c>
      <c r="AB21" s="318">
        <v>216</v>
      </c>
      <c r="AC21" s="344">
        <v>5.5285385206040441E-2</v>
      </c>
    </row>
    <row r="22" spans="1:29" ht="20.100000000000001" customHeight="1">
      <c r="A22" s="85"/>
      <c r="B22" s="85"/>
      <c r="C22" s="85"/>
      <c r="D22" s="85"/>
      <c r="E22" s="85"/>
      <c r="F22" s="85"/>
      <c r="G22" s="85"/>
      <c r="H22" s="85"/>
      <c r="I22" s="87" t="str">
        <f>TEXT(W20,)</f>
        <v/>
      </c>
      <c r="J22" s="87"/>
      <c r="K22" s="85"/>
      <c r="L22" s="85"/>
      <c r="M22" s="85"/>
      <c r="N22" s="85"/>
      <c r="O22" s="85"/>
      <c r="P22" s="85"/>
      <c r="Q22" s="85"/>
      <c r="R22" s="85"/>
      <c r="S22" s="87" t="str">
        <f>TEXT(AA20,)</f>
        <v>Priešinės liaukos</v>
      </c>
      <c r="T22" s="85"/>
      <c r="U22" s="85"/>
      <c r="V22" s="343"/>
      <c r="W22" s="343" t="s">
        <v>236</v>
      </c>
      <c r="X22" s="343">
        <v>1</v>
      </c>
      <c r="Y22" s="344">
        <v>7.6923076923076927E-2</v>
      </c>
      <c r="Z22" s="343"/>
      <c r="AA22" s="318" t="s">
        <v>219</v>
      </c>
      <c r="AB22" s="318">
        <v>219</v>
      </c>
      <c r="AC22" s="344">
        <v>5.605323777834656E-2</v>
      </c>
    </row>
    <row r="23" spans="1:29" ht="20.100000000000001" customHeight="1">
      <c r="A23" s="85"/>
      <c r="B23" s="85"/>
      <c r="C23" s="85"/>
      <c r="D23" s="85"/>
      <c r="E23" s="85"/>
      <c r="F23" s="85"/>
      <c r="G23" s="85"/>
      <c r="H23" s="85"/>
      <c r="I23" s="87" t="str">
        <f>TEXT(W19,)</f>
        <v/>
      </c>
      <c r="J23" s="87"/>
      <c r="K23" s="85"/>
      <c r="L23" s="85"/>
      <c r="M23" s="85"/>
      <c r="N23" s="85"/>
      <c r="O23" s="85"/>
      <c r="P23" s="85"/>
      <c r="Q23" s="85"/>
      <c r="R23" s="85"/>
      <c r="S23" s="87" t="str">
        <f>TEXT(AA19,)</f>
        <v>Tiesiosios žarnos, išangės</v>
      </c>
      <c r="T23" s="85"/>
      <c r="U23" s="85"/>
      <c r="V23" s="343"/>
      <c r="W23" s="343" t="s">
        <v>228</v>
      </c>
      <c r="X23" s="343">
        <v>2</v>
      </c>
      <c r="Y23" s="344">
        <v>0.15384615384615385</v>
      </c>
      <c r="Z23" s="343"/>
      <c r="AA23" s="318" t="s">
        <v>234</v>
      </c>
      <c r="AB23" s="318">
        <v>265</v>
      </c>
      <c r="AC23" s="344">
        <v>6.7826977220373688E-2</v>
      </c>
    </row>
    <row r="24" spans="1:29" ht="20.100000000000001" customHeight="1">
      <c r="A24" s="85"/>
      <c r="B24" s="85"/>
      <c r="C24" s="85"/>
      <c r="D24" s="85"/>
      <c r="E24" s="85"/>
      <c r="F24" s="85"/>
      <c r="G24" s="85"/>
      <c r="H24" s="85"/>
      <c r="I24" s="87" t="str">
        <f>TEXT(W18,)</f>
        <v/>
      </c>
      <c r="J24" s="87"/>
      <c r="K24" s="85"/>
      <c r="L24" s="85"/>
      <c r="M24" s="85"/>
      <c r="N24" s="85"/>
      <c r="O24" s="85"/>
      <c r="P24" s="85"/>
      <c r="Q24" s="85"/>
      <c r="R24" s="85"/>
      <c r="S24" s="87" t="str">
        <f>TEXT(AA18,)</f>
        <v>Nepatikslintos lokalizacijos</v>
      </c>
      <c r="T24" s="85"/>
      <c r="U24" s="85"/>
      <c r="V24" s="343"/>
      <c r="W24" s="343" t="s">
        <v>227</v>
      </c>
      <c r="X24" s="343">
        <v>3</v>
      </c>
      <c r="Y24" s="344">
        <v>0.23076923076923078</v>
      </c>
      <c r="Z24" s="343"/>
      <c r="AA24" s="318" t="s">
        <v>215</v>
      </c>
      <c r="AB24" s="318">
        <v>282</v>
      </c>
      <c r="AC24" s="344">
        <v>7.2178141796775022E-2</v>
      </c>
    </row>
    <row r="25" spans="1:29" ht="20.100000000000001" customHeight="1">
      <c r="A25" s="85"/>
      <c r="B25" s="85"/>
      <c r="C25" s="85"/>
      <c r="D25" s="85"/>
      <c r="E25" s="85"/>
      <c r="F25" s="85"/>
      <c r="G25" s="85"/>
      <c r="H25" s="85"/>
      <c r="I25" s="87" t="str">
        <f>TEXT(W17,)</f>
        <v/>
      </c>
      <c r="J25" s="87"/>
      <c r="K25" s="85"/>
      <c r="L25" s="85"/>
      <c r="M25" s="85"/>
      <c r="N25" s="85"/>
      <c r="O25" s="85"/>
      <c r="P25" s="85"/>
      <c r="Q25" s="85"/>
      <c r="R25" s="85"/>
      <c r="S25" s="87" t="str">
        <f>TEXT(AA17,)</f>
        <v>Burnos ertmės ir ryklės</v>
      </c>
      <c r="T25" s="85"/>
      <c r="U25" s="85"/>
      <c r="V25" s="343"/>
      <c r="W25" s="343" t="s">
        <v>225</v>
      </c>
      <c r="X25" s="343">
        <v>7</v>
      </c>
      <c r="Y25" s="344">
        <v>0.53846153846153844</v>
      </c>
      <c r="Z25" s="343"/>
      <c r="AA25" s="318" t="s">
        <v>217</v>
      </c>
      <c r="AB25" s="318">
        <v>799</v>
      </c>
      <c r="AC25" s="344">
        <v>0.20450473509086256</v>
      </c>
    </row>
    <row r="26" spans="1:29" ht="20.100000000000001" customHeight="1">
      <c r="A26" s="85"/>
      <c r="B26" s="85"/>
      <c r="C26" s="85"/>
      <c r="D26" s="85"/>
      <c r="E26" s="85"/>
      <c r="F26" s="85"/>
      <c r="G26" s="85"/>
      <c r="H26" s="85"/>
      <c r="I26" s="87" t="str">
        <f>TEXT(W16,)</f>
        <v/>
      </c>
      <c r="J26" s="87"/>
      <c r="K26" s="85"/>
      <c r="L26" s="85"/>
      <c r="M26" s="85"/>
      <c r="N26" s="85"/>
      <c r="O26" s="85"/>
      <c r="P26" s="85"/>
      <c r="Q26" s="85"/>
      <c r="R26" s="85"/>
      <c r="S26" s="87" t="str">
        <f>TEXT(AA16,)</f>
        <v>Inkstų</v>
      </c>
      <c r="T26" s="85"/>
      <c r="U26" s="85"/>
      <c r="V26" s="343"/>
      <c r="W26" s="345" t="s">
        <v>210</v>
      </c>
      <c r="X26" s="343">
        <v>13</v>
      </c>
      <c r="Y26" s="344">
        <v>1</v>
      </c>
      <c r="Z26" s="343"/>
      <c r="AA26" s="320" t="s">
        <v>210</v>
      </c>
      <c r="AB26" s="318">
        <v>3907</v>
      </c>
      <c r="AC26" s="344">
        <v>1</v>
      </c>
    </row>
    <row r="27" spans="1:29" ht="20.100000000000001" customHeight="1">
      <c r="A27" s="85"/>
      <c r="B27" s="85"/>
      <c r="C27" s="85"/>
      <c r="D27" s="85"/>
      <c r="E27" s="85"/>
      <c r="F27" s="85"/>
      <c r="G27" s="85"/>
      <c r="H27" s="85"/>
      <c r="I27" s="87" t="str">
        <f>TEXT(W15,)</f>
        <v/>
      </c>
      <c r="J27" s="87"/>
      <c r="K27" s="85"/>
      <c r="L27" s="85"/>
      <c r="M27" s="85"/>
      <c r="N27" s="85"/>
      <c r="O27" s="85"/>
      <c r="P27" s="85"/>
      <c r="Q27" s="85"/>
      <c r="R27" s="85"/>
      <c r="S27" s="87" t="str">
        <f>TEXT(AA15,)</f>
        <v>Kiti</v>
      </c>
      <c r="T27" s="85"/>
      <c r="U27" s="85"/>
      <c r="V27" s="343"/>
      <c r="W27" s="544" t="s">
        <v>483</v>
      </c>
      <c r="X27" s="544"/>
      <c r="Y27" s="544"/>
      <c r="Z27" s="343"/>
      <c r="AA27" s="544" t="s">
        <v>486</v>
      </c>
      <c r="AB27" s="544"/>
      <c r="AC27" s="544"/>
    </row>
    <row r="28" spans="1:29" ht="24.95" customHeight="1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343"/>
      <c r="W28" s="343" t="s">
        <v>26</v>
      </c>
      <c r="X28" s="343">
        <v>1</v>
      </c>
      <c r="Y28" s="344">
        <v>4.7619047619047616E-2</v>
      </c>
      <c r="Z28" s="343"/>
      <c r="AA28" s="343" t="s">
        <v>26</v>
      </c>
      <c r="AB28" s="343">
        <v>1005</v>
      </c>
      <c r="AC28" s="344">
        <v>0.28871014076414825</v>
      </c>
    </row>
    <row r="29" spans="1:29" ht="24.95" customHeight="1">
      <c r="A29" s="85"/>
      <c r="B29" s="85"/>
      <c r="C29" s="545" t="str">
        <f>W27</f>
        <v>Vyrai ir moterys, 15-29 metų (21 atv.)</v>
      </c>
      <c r="D29" s="545"/>
      <c r="E29" s="545"/>
      <c r="F29" s="545"/>
      <c r="G29" s="545"/>
      <c r="H29" s="545"/>
      <c r="I29" s="545"/>
      <c r="J29" s="212"/>
      <c r="K29" s="85"/>
      <c r="L29" s="85"/>
      <c r="M29" s="545" t="str">
        <f>AA27</f>
        <v>Vyrai ir moterys, 75 ir daugiau metų (3481 atv.)</v>
      </c>
      <c r="N29" s="545"/>
      <c r="O29" s="545"/>
      <c r="P29" s="545"/>
      <c r="Q29" s="545"/>
      <c r="R29" s="545"/>
      <c r="S29" s="545"/>
      <c r="T29" s="85"/>
      <c r="U29" s="85"/>
      <c r="V29" s="343"/>
      <c r="W29" s="343" t="s">
        <v>214</v>
      </c>
      <c r="X29" s="343">
        <v>1</v>
      </c>
      <c r="Y29" s="344">
        <v>4.7619047619047616E-2</v>
      </c>
      <c r="Z29" s="343"/>
      <c r="AA29" s="343" t="s">
        <v>213</v>
      </c>
      <c r="AB29" s="343">
        <v>125</v>
      </c>
      <c r="AC29" s="344">
        <v>3.5909221488078139E-2</v>
      </c>
    </row>
    <row r="30" spans="1:29" ht="20.100000000000001" customHeight="1">
      <c r="A30" s="85"/>
      <c r="B30" s="85"/>
      <c r="C30" s="85"/>
      <c r="D30" s="85"/>
      <c r="E30" s="85"/>
      <c r="F30" s="85"/>
      <c r="G30" s="85"/>
      <c r="H30" s="85"/>
      <c r="I30" s="87" t="str">
        <f>W38</f>
        <v>Smegenų</v>
      </c>
      <c r="J30" s="85"/>
      <c r="K30" s="85"/>
      <c r="L30" s="85"/>
      <c r="M30" s="85"/>
      <c r="N30" s="85"/>
      <c r="O30" s="85"/>
      <c r="P30" s="85"/>
      <c r="Q30" s="85"/>
      <c r="R30" s="85"/>
      <c r="S30" s="87" t="str">
        <f>AA38</f>
        <v>Plaučių, trachėjos, bronchų</v>
      </c>
      <c r="T30" s="85"/>
      <c r="U30" s="85"/>
      <c r="V30" s="343"/>
      <c r="W30" s="343" t="s">
        <v>219</v>
      </c>
      <c r="X30" s="343">
        <v>1</v>
      </c>
      <c r="Y30" s="344">
        <v>4.7619047619047616E-2</v>
      </c>
      <c r="Z30" s="343"/>
      <c r="AA30" s="343" t="s">
        <v>220</v>
      </c>
      <c r="AB30" s="343">
        <v>148</v>
      </c>
      <c r="AC30" s="344">
        <v>4.2516518241884516E-2</v>
      </c>
    </row>
    <row r="31" spans="1:29" ht="20.100000000000001" customHeight="1">
      <c r="A31" s="85"/>
      <c r="B31" s="85"/>
      <c r="C31" s="85"/>
      <c r="D31" s="85"/>
      <c r="E31" s="85"/>
      <c r="F31" s="85"/>
      <c r="G31" s="85"/>
      <c r="H31" s="85"/>
      <c r="I31" s="87" t="str">
        <f>W37</f>
        <v>Kaulų ir jungiamojo audinio</v>
      </c>
      <c r="J31" s="85"/>
      <c r="K31" s="85"/>
      <c r="L31" s="85"/>
      <c r="M31" s="85"/>
      <c r="N31" s="85"/>
      <c r="O31" s="85"/>
      <c r="P31" s="85"/>
      <c r="Q31" s="85"/>
      <c r="R31" s="85"/>
      <c r="S31" s="87" t="str">
        <f>AA37</f>
        <v>Priešinės liaukos</v>
      </c>
      <c r="T31" s="85"/>
      <c r="U31" s="85"/>
      <c r="V31" s="343"/>
      <c r="W31" s="343" t="s">
        <v>229</v>
      </c>
      <c r="X31" s="343">
        <v>1</v>
      </c>
      <c r="Y31" s="344">
        <v>4.7619047619047616E-2</v>
      </c>
      <c r="Z31" s="343"/>
      <c r="AA31" s="343" t="s">
        <v>237</v>
      </c>
      <c r="AB31" s="343">
        <v>191</v>
      </c>
      <c r="AC31" s="344">
        <v>5.4869290433783392E-2</v>
      </c>
    </row>
    <row r="32" spans="1:29" ht="20.100000000000001" customHeight="1">
      <c r="A32" s="85"/>
      <c r="B32" s="85"/>
      <c r="C32" s="85"/>
      <c r="D32" s="85"/>
      <c r="E32" s="85"/>
      <c r="F32" s="85"/>
      <c r="G32" s="85"/>
      <c r="H32" s="85"/>
      <c r="I32" s="87" t="str">
        <f>W36</f>
        <v>Sėklidžių</v>
      </c>
      <c r="J32" s="85"/>
      <c r="K32" s="85"/>
      <c r="L32" s="85"/>
      <c r="M32" s="85"/>
      <c r="N32" s="85"/>
      <c r="O32" s="85"/>
      <c r="P32" s="85"/>
      <c r="Q32" s="85"/>
      <c r="R32" s="85"/>
      <c r="S32" s="87" t="str">
        <f>AA36</f>
        <v>Skrandžio</v>
      </c>
      <c r="T32" s="85"/>
      <c r="U32" s="85"/>
      <c r="V32" s="343"/>
      <c r="W32" s="343" t="s">
        <v>234</v>
      </c>
      <c r="X32" s="343">
        <v>1</v>
      </c>
      <c r="Y32" s="344">
        <v>4.7619047619047616E-2</v>
      </c>
      <c r="Z32" s="343"/>
      <c r="AA32" s="343" t="s">
        <v>219</v>
      </c>
      <c r="AB32" s="343">
        <v>206</v>
      </c>
      <c r="AC32" s="344">
        <v>5.9178397012352772E-2</v>
      </c>
    </row>
    <row r="33" spans="1:29" ht="20.100000000000001" customHeight="1">
      <c r="A33" s="85"/>
      <c r="B33" s="85"/>
      <c r="C33" s="85"/>
      <c r="D33" s="85"/>
      <c r="E33" s="85"/>
      <c r="F33" s="85"/>
      <c r="G33" s="85"/>
      <c r="H33" s="85"/>
      <c r="I33" s="87" t="str">
        <f>W35</f>
        <v>Inkstų</v>
      </c>
      <c r="J33" s="85"/>
      <c r="K33" s="85"/>
      <c r="L33" s="85"/>
      <c r="M33" s="85"/>
      <c r="N33" s="85"/>
      <c r="O33" s="85"/>
      <c r="P33" s="85"/>
      <c r="Q33" s="85"/>
      <c r="R33" s="85"/>
      <c r="S33" s="87" t="str">
        <f>AA35</f>
        <v>Gaubtinės žarnos</v>
      </c>
      <c r="T33" s="85"/>
      <c r="U33" s="85"/>
      <c r="V33" s="343"/>
      <c r="W33" s="343" t="s">
        <v>233</v>
      </c>
      <c r="X33" s="343">
        <v>1</v>
      </c>
      <c r="Y33" s="344">
        <v>4.7619047619047616E-2</v>
      </c>
      <c r="Z33" s="343"/>
      <c r="AA33" s="343" t="s">
        <v>234</v>
      </c>
      <c r="AB33" s="343">
        <v>209</v>
      </c>
      <c r="AC33" s="344">
        <v>6.004021832806665E-2</v>
      </c>
    </row>
    <row r="34" spans="1:29" ht="20.100000000000001" customHeight="1">
      <c r="A34" s="85"/>
      <c r="B34" s="85"/>
      <c r="C34" s="85"/>
      <c r="D34" s="85"/>
      <c r="E34" s="85"/>
      <c r="F34" s="85"/>
      <c r="G34" s="85"/>
      <c r="H34" s="85"/>
      <c r="I34" s="87" t="str">
        <f>W34</f>
        <v>Kiaušidžių</v>
      </c>
      <c r="J34" s="85"/>
      <c r="K34" s="85"/>
      <c r="L34" s="85"/>
      <c r="M34" s="85"/>
      <c r="N34" s="85"/>
      <c r="O34" s="85"/>
      <c r="P34" s="85"/>
      <c r="Q34" s="85"/>
      <c r="R34" s="85"/>
      <c r="S34" s="87" t="str">
        <f>AA34</f>
        <v>Tiesiosios žarnos, išangės</v>
      </c>
      <c r="T34" s="85"/>
      <c r="U34" s="85"/>
      <c r="V34" s="343"/>
      <c r="W34" s="343" t="s">
        <v>231</v>
      </c>
      <c r="X34" s="343">
        <v>1</v>
      </c>
      <c r="Y34" s="344">
        <v>4.7619047619047616E-2</v>
      </c>
      <c r="Z34" s="343"/>
      <c r="AA34" s="343" t="s">
        <v>212</v>
      </c>
      <c r="AB34" s="343">
        <v>214</v>
      </c>
      <c r="AC34" s="344">
        <v>6.1476587187589776E-2</v>
      </c>
    </row>
    <row r="35" spans="1:29" ht="20.100000000000001" customHeight="1">
      <c r="A35" s="85"/>
      <c r="B35" s="85"/>
      <c r="C35" s="85"/>
      <c r="D35" s="85"/>
      <c r="E35" s="85"/>
      <c r="F35" s="85"/>
      <c r="G35" s="85"/>
      <c r="H35" s="85"/>
      <c r="I35" s="87" t="str">
        <f>W33</f>
        <v>Gimdos kūno</v>
      </c>
      <c r="J35" s="85"/>
      <c r="K35" s="85"/>
      <c r="L35" s="85"/>
      <c r="M35" s="85"/>
      <c r="N35" s="85"/>
      <c r="O35" s="85"/>
      <c r="P35" s="85"/>
      <c r="Q35" s="85"/>
      <c r="R35" s="85"/>
      <c r="S35" s="87" t="str">
        <f>AA33</f>
        <v>Krūties</v>
      </c>
      <c r="T35" s="85"/>
      <c r="U35" s="85"/>
      <c r="V35" s="343"/>
      <c r="W35" s="343" t="s">
        <v>213</v>
      </c>
      <c r="X35" s="343">
        <v>1</v>
      </c>
      <c r="Y35" s="344">
        <v>4.7619047619047616E-2</v>
      </c>
      <c r="Z35" s="343"/>
      <c r="AA35" s="343" t="s">
        <v>214</v>
      </c>
      <c r="AB35" s="343">
        <v>300</v>
      </c>
      <c r="AC35" s="344">
        <v>8.618213157138753E-2</v>
      </c>
    </row>
    <row r="36" spans="1:29" ht="20.100000000000001" customHeight="1">
      <c r="A36" s="85"/>
      <c r="B36" s="85"/>
      <c r="C36" s="85"/>
      <c r="D36" s="85"/>
      <c r="E36" s="85"/>
      <c r="F36" s="85"/>
      <c r="G36" s="85"/>
      <c r="H36" s="85"/>
      <c r="I36" s="87" t="str">
        <f>W32</f>
        <v>Krūties</v>
      </c>
      <c r="J36" s="85"/>
      <c r="K36" s="85"/>
      <c r="L36" s="85"/>
      <c r="M36" s="85"/>
      <c r="N36" s="85"/>
      <c r="O36" s="85"/>
      <c r="P36" s="85"/>
      <c r="Q36" s="85"/>
      <c r="R36" s="85"/>
      <c r="S36" s="87" t="str">
        <f>AA32</f>
        <v>Kasos</v>
      </c>
      <c r="T36" s="85"/>
      <c r="U36" s="85"/>
      <c r="V36" s="343"/>
      <c r="W36" s="343" t="s">
        <v>221</v>
      </c>
      <c r="X36" s="343">
        <v>3</v>
      </c>
      <c r="Y36" s="344">
        <v>0.14285714285714285</v>
      </c>
      <c r="Z36" s="343"/>
      <c r="AA36" s="343" t="s">
        <v>215</v>
      </c>
      <c r="AB36" s="343">
        <v>312</v>
      </c>
      <c r="AC36" s="344">
        <v>8.9629416834243039E-2</v>
      </c>
    </row>
    <row r="37" spans="1:29" ht="20.100000000000001" customHeight="1">
      <c r="A37" s="85"/>
      <c r="B37" s="85"/>
      <c r="C37" s="85"/>
      <c r="D37" s="85"/>
      <c r="E37" s="85"/>
      <c r="F37" s="85"/>
      <c r="G37" s="85"/>
      <c r="H37" s="85"/>
      <c r="I37" s="87" t="str">
        <f>W31</f>
        <v>Odos melanoma</v>
      </c>
      <c r="J37" s="85"/>
      <c r="K37" s="85"/>
      <c r="L37" s="85"/>
      <c r="M37" s="85"/>
      <c r="N37" s="85"/>
      <c r="O37" s="85"/>
      <c r="P37" s="85"/>
      <c r="Q37" s="85"/>
      <c r="R37" s="85"/>
      <c r="S37" s="87" t="str">
        <f>AA31</f>
        <v>Nepatikslintos lokalizacijos</v>
      </c>
      <c r="T37" s="85"/>
      <c r="U37" s="85"/>
      <c r="V37" s="343"/>
      <c r="W37" s="343" t="s">
        <v>228</v>
      </c>
      <c r="X37" s="343">
        <v>4</v>
      </c>
      <c r="Y37" s="344">
        <v>0.19047619047619047</v>
      </c>
      <c r="Z37" s="343"/>
      <c r="AA37" s="343" t="s">
        <v>218</v>
      </c>
      <c r="AB37" s="343">
        <v>343</v>
      </c>
      <c r="AC37" s="344">
        <v>9.8534903763286413E-2</v>
      </c>
    </row>
    <row r="38" spans="1:29" ht="20.100000000000001" customHeight="1">
      <c r="A38" s="85"/>
      <c r="B38" s="85"/>
      <c r="C38" s="85"/>
      <c r="D38" s="85"/>
      <c r="E38" s="85"/>
      <c r="F38" s="85"/>
      <c r="G38" s="85"/>
      <c r="H38" s="85"/>
      <c r="I38" s="87" t="str">
        <f>W30</f>
        <v>Kasos</v>
      </c>
      <c r="J38" s="85"/>
      <c r="K38" s="85"/>
      <c r="L38" s="85"/>
      <c r="M38" s="85"/>
      <c r="N38" s="85"/>
      <c r="O38" s="85"/>
      <c r="P38" s="85"/>
      <c r="Q38" s="85"/>
      <c r="R38" s="85"/>
      <c r="S38" s="87" t="str">
        <f>AA30</f>
        <v>Šlapimo pūslės</v>
      </c>
      <c r="T38" s="85"/>
      <c r="U38" s="85"/>
      <c r="V38" s="343"/>
      <c r="W38" s="343" t="s">
        <v>225</v>
      </c>
      <c r="X38" s="343">
        <v>6</v>
      </c>
      <c r="Y38" s="344">
        <v>0.2857142857142857</v>
      </c>
      <c r="Z38" s="343"/>
      <c r="AA38" s="343" t="s">
        <v>217</v>
      </c>
      <c r="AB38" s="343">
        <v>428</v>
      </c>
      <c r="AC38" s="344">
        <v>0.12295317437517955</v>
      </c>
    </row>
    <row r="39" spans="1:29" ht="20.100000000000001" customHeight="1">
      <c r="A39" s="85"/>
      <c r="B39" s="85"/>
      <c r="C39" s="85"/>
      <c r="D39" s="85"/>
      <c r="E39" s="85"/>
      <c r="F39" s="85"/>
      <c r="G39" s="85"/>
      <c r="H39" s="85"/>
      <c r="I39" s="87" t="str">
        <f>W29</f>
        <v>Gaubtinės žarnos</v>
      </c>
      <c r="J39" s="85"/>
      <c r="K39" s="85"/>
      <c r="L39" s="85"/>
      <c r="M39" s="85"/>
      <c r="N39" s="85"/>
      <c r="O39" s="85"/>
      <c r="P39" s="85"/>
      <c r="Q39" s="85"/>
      <c r="R39" s="85"/>
      <c r="S39" s="87" t="str">
        <f>AA29</f>
        <v>Inkstų</v>
      </c>
      <c r="T39" s="85"/>
      <c r="U39" s="85"/>
      <c r="V39" s="343"/>
      <c r="W39" s="345" t="s">
        <v>210</v>
      </c>
      <c r="X39" s="343">
        <v>21</v>
      </c>
      <c r="Y39" s="344">
        <v>0.99999999999999989</v>
      </c>
      <c r="Z39" s="343"/>
      <c r="AA39" s="345" t="s">
        <v>210</v>
      </c>
      <c r="AB39" s="343">
        <v>3481</v>
      </c>
      <c r="AC39" s="344">
        <v>1</v>
      </c>
    </row>
    <row r="40" spans="1:29" ht="20.100000000000001" customHeight="1">
      <c r="A40" s="85"/>
      <c r="B40" s="85"/>
      <c r="C40" s="85"/>
      <c r="D40" s="85"/>
      <c r="E40" s="85"/>
      <c r="F40" s="85"/>
      <c r="G40" s="85"/>
      <c r="H40" s="85"/>
      <c r="I40" s="87" t="str">
        <f>W28</f>
        <v>Kiti</v>
      </c>
      <c r="J40" s="85"/>
      <c r="K40" s="85"/>
      <c r="L40" s="85"/>
      <c r="M40" s="85"/>
      <c r="N40" s="85"/>
      <c r="O40" s="85"/>
      <c r="P40" s="85"/>
      <c r="Q40" s="85"/>
      <c r="R40" s="85"/>
      <c r="S40" s="87" t="str">
        <f>TEXT(AA28,)</f>
        <v>Kiti</v>
      </c>
      <c r="T40" s="85"/>
      <c r="U40" s="85"/>
      <c r="V40" s="343"/>
      <c r="W40" s="544"/>
      <c r="X40" s="544"/>
      <c r="Y40" s="544"/>
      <c r="Z40" s="343"/>
      <c r="AA40" s="544"/>
      <c r="AB40" s="544"/>
      <c r="AC40" s="544"/>
    </row>
    <row r="41" spans="1:29" ht="24.95" customHeight="1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343"/>
      <c r="W41" s="343"/>
      <c r="X41" s="343"/>
      <c r="Y41" s="346"/>
      <c r="Z41" s="343"/>
      <c r="AA41" s="343"/>
      <c r="AB41" s="343"/>
      <c r="AC41" s="346"/>
    </row>
    <row r="42" spans="1:29" ht="24.95" customHeight="1">
      <c r="A42" s="349"/>
      <c r="B42" s="349"/>
      <c r="C42" s="543">
        <f>W40</f>
        <v>0</v>
      </c>
      <c r="D42" s="543"/>
      <c r="E42" s="543"/>
      <c r="F42" s="543"/>
      <c r="G42" s="543"/>
      <c r="H42" s="543"/>
      <c r="I42" s="543"/>
      <c r="J42" s="350"/>
      <c r="K42" s="349"/>
      <c r="L42" s="349"/>
      <c r="M42" s="543">
        <f>AA40</f>
        <v>0</v>
      </c>
      <c r="N42" s="543"/>
      <c r="O42" s="543"/>
      <c r="P42" s="543"/>
      <c r="Q42" s="543"/>
      <c r="R42" s="543"/>
      <c r="S42" s="543"/>
      <c r="T42" s="349"/>
      <c r="U42" s="349"/>
      <c r="V42" s="343"/>
      <c r="W42" s="343"/>
      <c r="X42" s="343"/>
      <c r="Y42" s="346"/>
      <c r="Z42" s="343"/>
      <c r="AA42" s="343"/>
      <c r="AB42" s="343"/>
      <c r="AC42" s="346"/>
    </row>
    <row r="43" spans="1:29" ht="20.100000000000001" customHeight="1">
      <c r="A43" s="349"/>
      <c r="B43" s="349"/>
      <c r="C43" s="349"/>
      <c r="D43" s="349"/>
      <c r="E43" s="349"/>
      <c r="F43" s="349"/>
      <c r="G43" s="349"/>
      <c r="H43" s="349"/>
      <c r="I43" s="351">
        <f>W51</f>
        <v>0</v>
      </c>
      <c r="J43" s="349"/>
      <c r="K43" s="349"/>
      <c r="L43" s="349"/>
      <c r="M43" s="349"/>
      <c r="N43" s="349"/>
      <c r="O43" s="349"/>
      <c r="P43" s="349"/>
      <c r="Q43" s="349"/>
      <c r="R43" s="349"/>
      <c r="S43" s="351">
        <f>AA51</f>
        <v>0</v>
      </c>
      <c r="T43" s="349"/>
      <c r="U43" s="349"/>
      <c r="V43" s="343"/>
      <c r="W43" s="343"/>
      <c r="X43" s="343"/>
      <c r="Y43" s="346"/>
      <c r="Z43" s="343"/>
      <c r="AA43" s="343"/>
      <c r="AB43" s="343"/>
      <c r="AC43" s="346"/>
    </row>
    <row r="44" spans="1:29" ht="20.100000000000001" customHeight="1">
      <c r="A44" s="349"/>
      <c r="B44" s="349"/>
      <c r="C44" s="349"/>
      <c r="D44" s="349"/>
      <c r="E44" s="349"/>
      <c r="F44" s="349"/>
      <c r="G44" s="349"/>
      <c r="H44" s="349"/>
      <c r="I44" s="351">
        <f>W50</f>
        <v>0</v>
      </c>
      <c r="J44" s="349"/>
      <c r="K44" s="349"/>
      <c r="L44" s="349"/>
      <c r="M44" s="349"/>
      <c r="N44" s="349"/>
      <c r="O44" s="349"/>
      <c r="P44" s="349"/>
      <c r="Q44" s="349"/>
      <c r="R44" s="349"/>
      <c r="S44" s="351">
        <f>AA50</f>
        <v>0</v>
      </c>
      <c r="T44" s="349"/>
      <c r="U44" s="349"/>
      <c r="V44" s="343"/>
      <c r="W44" s="343"/>
      <c r="X44" s="343"/>
      <c r="Y44" s="346"/>
      <c r="Z44" s="343"/>
      <c r="AA44" s="343"/>
      <c r="AB44" s="343"/>
      <c r="AC44" s="346"/>
    </row>
    <row r="45" spans="1:29" ht="20.100000000000001" customHeight="1">
      <c r="A45" s="349"/>
      <c r="B45" s="349"/>
      <c r="C45" s="349"/>
      <c r="D45" s="349"/>
      <c r="E45" s="349"/>
      <c r="F45" s="349"/>
      <c r="G45" s="349"/>
      <c r="H45" s="349"/>
      <c r="I45" s="351">
        <f>W49</f>
        <v>0</v>
      </c>
      <c r="J45" s="349"/>
      <c r="K45" s="349"/>
      <c r="L45" s="349"/>
      <c r="M45" s="349"/>
      <c r="N45" s="349"/>
      <c r="O45" s="349"/>
      <c r="P45" s="349"/>
      <c r="Q45" s="349"/>
      <c r="R45" s="349"/>
      <c r="S45" s="351">
        <f>AA49</f>
        <v>0</v>
      </c>
      <c r="T45" s="349"/>
      <c r="U45" s="349"/>
      <c r="V45" s="343"/>
      <c r="W45" s="343"/>
      <c r="X45" s="343"/>
      <c r="Y45" s="346"/>
      <c r="Z45" s="343"/>
      <c r="AA45" s="343"/>
      <c r="AB45" s="343"/>
      <c r="AC45" s="346"/>
    </row>
    <row r="46" spans="1:29" ht="20.100000000000001" customHeight="1">
      <c r="A46" s="349"/>
      <c r="B46" s="349"/>
      <c r="C46" s="349"/>
      <c r="D46" s="349"/>
      <c r="E46" s="349"/>
      <c r="F46" s="349"/>
      <c r="G46" s="349"/>
      <c r="H46" s="349"/>
      <c r="I46" s="351">
        <f>W48</f>
        <v>0</v>
      </c>
      <c r="J46" s="349"/>
      <c r="K46" s="349"/>
      <c r="L46" s="349"/>
      <c r="M46" s="349"/>
      <c r="N46" s="349"/>
      <c r="O46" s="349"/>
      <c r="P46" s="349"/>
      <c r="Q46" s="349"/>
      <c r="R46" s="349"/>
      <c r="S46" s="351">
        <f>AA48</f>
        <v>0</v>
      </c>
      <c r="T46" s="349"/>
      <c r="U46" s="349"/>
      <c r="V46" s="343"/>
      <c r="W46" s="343"/>
      <c r="X46" s="343"/>
      <c r="Y46" s="346"/>
      <c r="Z46" s="343"/>
      <c r="AA46" s="343"/>
      <c r="AB46" s="343"/>
      <c r="AC46" s="346"/>
    </row>
    <row r="47" spans="1:29" ht="20.100000000000001" customHeight="1">
      <c r="A47" s="349"/>
      <c r="B47" s="349"/>
      <c r="C47" s="349"/>
      <c r="D47" s="349"/>
      <c r="E47" s="349"/>
      <c r="F47" s="349"/>
      <c r="G47" s="349"/>
      <c r="H47" s="349"/>
      <c r="I47" s="351">
        <f>W47</f>
        <v>0</v>
      </c>
      <c r="J47" s="349"/>
      <c r="K47" s="349"/>
      <c r="L47" s="349"/>
      <c r="M47" s="349"/>
      <c r="N47" s="349"/>
      <c r="O47" s="349"/>
      <c r="P47" s="349"/>
      <c r="Q47" s="349"/>
      <c r="R47" s="349"/>
      <c r="S47" s="351">
        <f>AA47</f>
        <v>0</v>
      </c>
      <c r="T47" s="349"/>
      <c r="U47" s="349"/>
      <c r="V47" s="343"/>
      <c r="W47" s="343"/>
      <c r="X47" s="343"/>
      <c r="Y47" s="346"/>
      <c r="Z47" s="343"/>
      <c r="AA47" s="343"/>
      <c r="AB47" s="343"/>
      <c r="AC47" s="346"/>
    </row>
    <row r="48" spans="1:29" ht="20.100000000000001" customHeight="1">
      <c r="A48" s="349"/>
      <c r="B48" s="349"/>
      <c r="C48" s="349"/>
      <c r="D48" s="349"/>
      <c r="E48" s="349"/>
      <c r="F48" s="349"/>
      <c r="G48" s="349"/>
      <c r="H48" s="349"/>
      <c r="I48" s="351">
        <f>W46</f>
        <v>0</v>
      </c>
      <c r="J48" s="349"/>
      <c r="K48" s="349"/>
      <c r="L48" s="349"/>
      <c r="M48" s="349"/>
      <c r="N48" s="349"/>
      <c r="O48" s="349"/>
      <c r="P48" s="349"/>
      <c r="Q48" s="349"/>
      <c r="R48" s="349"/>
      <c r="S48" s="351">
        <f>AA46</f>
        <v>0</v>
      </c>
      <c r="T48" s="349"/>
      <c r="U48" s="349"/>
      <c r="V48" s="343"/>
      <c r="W48" s="343"/>
      <c r="X48" s="343"/>
      <c r="Y48" s="346"/>
      <c r="Z48" s="343"/>
      <c r="AA48" s="343"/>
      <c r="AB48" s="343"/>
      <c r="AC48" s="346"/>
    </row>
    <row r="49" spans="1:29" ht="20.100000000000001" customHeight="1">
      <c r="A49" s="349"/>
      <c r="B49" s="349"/>
      <c r="C49" s="349"/>
      <c r="D49" s="349"/>
      <c r="E49" s="349"/>
      <c r="F49" s="349"/>
      <c r="G49" s="349"/>
      <c r="H49" s="349"/>
      <c r="I49" s="351">
        <f>W45</f>
        <v>0</v>
      </c>
      <c r="J49" s="349"/>
      <c r="K49" s="349"/>
      <c r="L49" s="349"/>
      <c r="M49" s="349"/>
      <c r="N49" s="349"/>
      <c r="O49" s="349"/>
      <c r="P49" s="349"/>
      <c r="Q49" s="349"/>
      <c r="R49" s="349"/>
      <c r="S49" s="351">
        <f>AA45</f>
        <v>0</v>
      </c>
      <c r="T49" s="349"/>
      <c r="U49" s="349"/>
      <c r="V49" s="343"/>
      <c r="W49" s="343"/>
      <c r="X49" s="343"/>
      <c r="Y49" s="346"/>
      <c r="Z49" s="343"/>
      <c r="AA49" s="343"/>
      <c r="AB49" s="343"/>
      <c r="AC49" s="346"/>
    </row>
    <row r="50" spans="1:29" ht="20.100000000000001" customHeight="1">
      <c r="A50" s="349"/>
      <c r="B50" s="349"/>
      <c r="C50" s="349"/>
      <c r="D50" s="349"/>
      <c r="E50" s="349"/>
      <c r="F50" s="349"/>
      <c r="G50" s="349"/>
      <c r="H50" s="349"/>
      <c r="I50" s="351">
        <f>W44</f>
        <v>0</v>
      </c>
      <c r="J50" s="349"/>
      <c r="K50" s="349"/>
      <c r="L50" s="349"/>
      <c r="M50" s="349"/>
      <c r="N50" s="349"/>
      <c r="O50" s="349"/>
      <c r="P50" s="349"/>
      <c r="Q50" s="349"/>
      <c r="R50" s="349"/>
      <c r="S50" s="351">
        <f>AA44</f>
        <v>0</v>
      </c>
      <c r="T50" s="349"/>
      <c r="U50" s="349"/>
      <c r="V50" s="343"/>
      <c r="W50" s="343"/>
      <c r="X50" s="343"/>
      <c r="Y50" s="346"/>
      <c r="Z50" s="343"/>
      <c r="AA50" s="343"/>
      <c r="AB50" s="343"/>
      <c r="AC50" s="346"/>
    </row>
    <row r="51" spans="1:29" ht="20.100000000000001" customHeight="1">
      <c r="A51" s="349"/>
      <c r="B51" s="349"/>
      <c r="C51" s="349"/>
      <c r="D51" s="349"/>
      <c r="E51" s="349"/>
      <c r="F51" s="349"/>
      <c r="G51" s="349"/>
      <c r="H51" s="349"/>
      <c r="I51" s="351">
        <f>W43</f>
        <v>0</v>
      </c>
      <c r="J51" s="349"/>
      <c r="K51" s="349"/>
      <c r="L51" s="349"/>
      <c r="M51" s="349"/>
      <c r="N51" s="349"/>
      <c r="O51" s="349"/>
      <c r="P51" s="349"/>
      <c r="Q51" s="349"/>
      <c r="R51" s="349"/>
      <c r="S51" s="351">
        <f>AA43</f>
        <v>0</v>
      </c>
      <c r="T51" s="349"/>
      <c r="U51" s="349"/>
      <c r="V51" s="343"/>
      <c r="W51" s="343"/>
      <c r="X51" s="343"/>
      <c r="Y51" s="346"/>
      <c r="Z51" s="343"/>
      <c r="AA51" s="343"/>
      <c r="AB51" s="343"/>
      <c r="AC51" s="346"/>
    </row>
    <row r="52" spans="1:29" ht="20.100000000000001" customHeight="1">
      <c r="A52" s="349"/>
      <c r="B52" s="349"/>
      <c r="C52" s="349"/>
      <c r="D52" s="349"/>
      <c r="E52" s="349"/>
      <c r="F52" s="349"/>
      <c r="G52" s="349"/>
      <c r="H52" s="349"/>
      <c r="I52" s="351">
        <f>W42</f>
        <v>0</v>
      </c>
      <c r="J52" s="349"/>
      <c r="K52" s="349"/>
      <c r="L52" s="349"/>
      <c r="M52" s="349"/>
      <c r="N52" s="349"/>
      <c r="O52" s="349"/>
      <c r="P52" s="349"/>
      <c r="Q52" s="349"/>
      <c r="R52" s="349"/>
      <c r="S52" s="351">
        <f>AA42</f>
        <v>0</v>
      </c>
      <c r="T52" s="349"/>
      <c r="U52" s="349"/>
      <c r="V52" s="343"/>
      <c r="W52" s="345"/>
      <c r="X52" s="343"/>
      <c r="Y52" s="346"/>
      <c r="Z52" s="343"/>
      <c r="AA52" s="345"/>
      <c r="AB52" s="343"/>
      <c r="AC52" s="346"/>
    </row>
    <row r="53" spans="1:29" ht="20.100000000000001" customHeight="1">
      <c r="A53" s="349"/>
      <c r="B53" s="349"/>
      <c r="C53" s="349"/>
      <c r="D53" s="349"/>
      <c r="E53" s="349"/>
      <c r="F53" s="349"/>
      <c r="G53" s="349"/>
      <c r="H53" s="349"/>
      <c r="I53" s="351">
        <f>W41</f>
        <v>0</v>
      </c>
      <c r="J53" s="349"/>
      <c r="K53" s="349"/>
      <c r="L53" s="349"/>
      <c r="M53" s="349"/>
      <c r="N53" s="349"/>
      <c r="O53" s="349"/>
      <c r="P53" s="349"/>
      <c r="Q53" s="349"/>
      <c r="R53" s="349"/>
      <c r="S53" s="351">
        <f>AA41</f>
        <v>0</v>
      </c>
      <c r="T53" s="349"/>
      <c r="U53" s="349"/>
      <c r="V53" s="343"/>
      <c r="W53" s="544"/>
      <c r="X53" s="544"/>
      <c r="Y53" s="544"/>
      <c r="Z53" s="343"/>
      <c r="AA53" s="544"/>
      <c r="AB53" s="544"/>
      <c r="AC53" s="544"/>
    </row>
    <row r="54" spans="1:29" ht="24.95" customHeight="1">
      <c r="A54" s="349"/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3"/>
      <c r="W54" s="343"/>
      <c r="X54" s="343"/>
      <c r="Y54" s="346"/>
      <c r="Z54" s="343"/>
      <c r="AA54" s="343"/>
      <c r="AB54" s="343"/>
      <c r="AC54" s="346"/>
    </row>
    <row r="55" spans="1:29" ht="24.95" customHeight="1">
      <c r="A55" s="349"/>
      <c r="B55" s="349"/>
      <c r="C55" s="543">
        <f>W53</f>
        <v>0</v>
      </c>
      <c r="D55" s="543"/>
      <c r="E55" s="543"/>
      <c r="F55" s="543"/>
      <c r="G55" s="543"/>
      <c r="H55" s="543"/>
      <c r="I55" s="543"/>
      <c r="J55" s="349"/>
      <c r="K55" s="349"/>
      <c r="L55" s="349"/>
      <c r="M55" s="543">
        <f>AA53</f>
        <v>0</v>
      </c>
      <c r="N55" s="543"/>
      <c r="O55" s="543"/>
      <c r="P55" s="543"/>
      <c r="Q55" s="543"/>
      <c r="R55" s="543"/>
      <c r="S55" s="543"/>
      <c r="T55" s="349"/>
      <c r="U55" s="349"/>
      <c r="V55" s="343"/>
      <c r="W55" s="343"/>
      <c r="X55" s="343"/>
      <c r="Y55" s="346"/>
      <c r="Z55" s="343"/>
      <c r="AA55" s="343"/>
      <c r="AB55" s="343"/>
      <c r="AC55" s="346"/>
    </row>
    <row r="56" spans="1:29" ht="20.100000000000001" customHeight="1">
      <c r="A56" s="349"/>
      <c r="B56" s="349"/>
      <c r="C56" s="349"/>
      <c r="D56" s="349"/>
      <c r="E56" s="349"/>
      <c r="F56" s="349"/>
      <c r="G56" s="349"/>
      <c r="H56" s="349"/>
      <c r="I56" s="351">
        <f>W64</f>
        <v>0</v>
      </c>
      <c r="J56" s="349"/>
      <c r="K56" s="349"/>
      <c r="L56" s="349"/>
      <c r="M56" s="349"/>
      <c r="N56" s="349"/>
      <c r="O56" s="349"/>
      <c r="P56" s="349"/>
      <c r="Q56" s="349"/>
      <c r="R56" s="349"/>
      <c r="S56" s="351">
        <f>AA64</f>
        <v>0</v>
      </c>
      <c r="T56" s="349"/>
      <c r="U56" s="349"/>
      <c r="V56" s="343"/>
      <c r="W56" s="343"/>
      <c r="X56" s="343"/>
      <c r="Y56" s="346"/>
      <c r="Z56" s="343"/>
      <c r="AA56" s="343"/>
      <c r="AB56" s="343"/>
      <c r="AC56" s="346"/>
    </row>
    <row r="57" spans="1:29" ht="20.100000000000001" customHeight="1">
      <c r="A57" s="349"/>
      <c r="B57" s="349"/>
      <c r="C57" s="349"/>
      <c r="D57" s="349"/>
      <c r="E57" s="349"/>
      <c r="F57" s="349"/>
      <c r="G57" s="349"/>
      <c r="H57" s="349"/>
      <c r="I57" s="351">
        <f>W63</f>
        <v>0</v>
      </c>
      <c r="J57" s="349"/>
      <c r="K57" s="349"/>
      <c r="L57" s="349"/>
      <c r="M57" s="349"/>
      <c r="N57" s="349"/>
      <c r="O57" s="349"/>
      <c r="P57" s="349"/>
      <c r="Q57" s="349"/>
      <c r="R57" s="349"/>
      <c r="S57" s="351">
        <f>AA63</f>
        <v>0</v>
      </c>
      <c r="T57" s="349"/>
      <c r="U57" s="349"/>
      <c r="V57" s="343"/>
      <c r="W57" s="343"/>
      <c r="X57" s="343"/>
      <c r="Y57" s="346"/>
      <c r="Z57" s="343"/>
      <c r="AA57" s="343"/>
      <c r="AB57" s="343"/>
      <c r="AC57" s="346"/>
    </row>
    <row r="58" spans="1:29" ht="20.100000000000001" customHeight="1">
      <c r="A58" s="349"/>
      <c r="B58" s="349"/>
      <c r="C58" s="349"/>
      <c r="D58" s="349"/>
      <c r="E58" s="349"/>
      <c r="F58" s="349"/>
      <c r="G58" s="349"/>
      <c r="H58" s="349"/>
      <c r="I58" s="351">
        <f>W62</f>
        <v>0</v>
      </c>
      <c r="J58" s="349"/>
      <c r="K58" s="349"/>
      <c r="L58" s="349"/>
      <c r="M58" s="349"/>
      <c r="N58" s="349"/>
      <c r="O58" s="349"/>
      <c r="P58" s="349"/>
      <c r="Q58" s="349"/>
      <c r="R58" s="349"/>
      <c r="S58" s="351">
        <f>AA62</f>
        <v>0</v>
      </c>
      <c r="T58" s="349"/>
      <c r="U58" s="349"/>
      <c r="V58" s="343"/>
      <c r="W58" s="343"/>
      <c r="X58" s="343"/>
      <c r="Y58" s="346"/>
      <c r="Z58" s="343"/>
      <c r="AA58" s="343"/>
      <c r="AB58" s="343"/>
      <c r="AC58" s="346"/>
    </row>
    <row r="59" spans="1:29" ht="20.100000000000001" customHeight="1">
      <c r="A59" s="349"/>
      <c r="B59" s="349"/>
      <c r="C59" s="349"/>
      <c r="D59" s="349"/>
      <c r="E59" s="349"/>
      <c r="F59" s="349"/>
      <c r="G59" s="349"/>
      <c r="H59" s="349"/>
      <c r="I59" s="351">
        <f>W61</f>
        <v>0</v>
      </c>
      <c r="J59" s="349"/>
      <c r="K59" s="349"/>
      <c r="L59" s="349"/>
      <c r="M59" s="349"/>
      <c r="N59" s="349"/>
      <c r="O59" s="349"/>
      <c r="P59" s="349"/>
      <c r="Q59" s="349"/>
      <c r="R59" s="349"/>
      <c r="S59" s="351">
        <f>AA61</f>
        <v>0</v>
      </c>
      <c r="T59" s="349"/>
      <c r="U59" s="349"/>
      <c r="V59" s="343"/>
      <c r="W59" s="343"/>
      <c r="X59" s="343"/>
      <c r="Y59" s="346"/>
      <c r="Z59" s="343"/>
      <c r="AA59" s="343"/>
      <c r="AB59" s="343"/>
      <c r="AC59" s="346"/>
    </row>
    <row r="60" spans="1:29" ht="20.100000000000001" customHeight="1">
      <c r="A60" s="349"/>
      <c r="B60" s="349"/>
      <c r="C60" s="349"/>
      <c r="D60" s="349"/>
      <c r="E60" s="349"/>
      <c r="F60" s="349"/>
      <c r="G60" s="349"/>
      <c r="H60" s="349"/>
      <c r="I60" s="351">
        <f>W60</f>
        <v>0</v>
      </c>
      <c r="J60" s="349"/>
      <c r="K60" s="349"/>
      <c r="L60" s="349"/>
      <c r="M60" s="349"/>
      <c r="N60" s="349"/>
      <c r="O60" s="349"/>
      <c r="P60" s="349"/>
      <c r="Q60" s="349"/>
      <c r="R60" s="349"/>
      <c r="S60" s="351">
        <f>AA60</f>
        <v>0</v>
      </c>
      <c r="T60" s="349"/>
      <c r="U60" s="349"/>
      <c r="V60" s="343"/>
      <c r="W60" s="343"/>
      <c r="X60" s="343"/>
      <c r="Y60" s="346"/>
      <c r="Z60" s="343"/>
      <c r="AA60" s="343"/>
      <c r="AB60" s="343"/>
      <c r="AC60" s="346"/>
    </row>
    <row r="61" spans="1:29" ht="20.100000000000001" customHeight="1">
      <c r="A61" s="349"/>
      <c r="B61" s="349"/>
      <c r="C61" s="349"/>
      <c r="D61" s="349"/>
      <c r="E61" s="349"/>
      <c r="F61" s="349"/>
      <c r="G61" s="349"/>
      <c r="H61" s="349"/>
      <c r="I61" s="351">
        <f>W59</f>
        <v>0</v>
      </c>
      <c r="J61" s="349"/>
      <c r="K61" s="349"/>
      <c r="L61" s="349"/>
      <c r="M61" s="349"/>
      <c r="N61" s="349"/>
      <c r="O61" s="349"/>
      <c r="P61" s="349"/>
      <c r="Q61" s="349"/>
      <c r="R61" s="349"/>
      <c r="S61" s="351">
        <f>AA59</f>
        <v>0</v>
      </c>
      <c r="T61" s="349"/>
      <c r="U61" s="349"/>
      <c r="V61" s="343"/>
      <c r="W61" s="343"/>
      <c r="X61" s="343"/>
      <c r="Y61" s="346"/>
      <c r="Z61" s="343"/>
      <c r="AA61" s="343"/>
      <c r="AB61" s="343"/>
      <c r="AC61" s="346"/>
    </row>
    <row r="62" spans="1:29" ht="20.100000000000001" customHeight="1">
      <c r="A62" s="349"/>
      <c r="B62" s="349"/>
      <c r="C62" s="349"/>
      <c r="D62" s="349"/>
      <c r="E62" s="349"/>
      <c r="F62" s="349"/>
      <c r="G62" s="349"/>
      <c r="H62" s="349"/>
      <c r="I62" s="351">
        <f>W58</f>
        <v>0</v>
      </c>
      <c r="J62" s="349"/>
      <c r="K62" s="349"/>
      <c r="L62" s="349"/>
      <c r="M62" s="349"/>
      <c r="N62" s="349"/>
      <c r="O62" s="349"/>
      <c r="P62" s="349"/>
      <c r="Q62" s="349"/>
      <c r="R62" s="349"/>
      <c r="S62" s="351">
        <f>AA58</f>
        <v>0</v>
      </c>
      <c r="T62" s="349"/>
      <c r="U62" s="349"/>
      <c r="V62" s="343"/>
      <c r="W62" s="343"/>
      <c r="X62" s="343"/>
      <c r="Y62" s="346"/>
      <c r="Z62" s="343"/>
      <c r="AA62" s="343"/>
      <c r="AB62" s="343"/>
      <c r="AC62" s="346"/>
    </row>
    <row r="63" spans="1:29" ht="20.100000000000001" customHeight="1">
      <c r="A63" s="349"/>
      <c r="B63" s="349"/>
      <c r="C63" s="349"/>
      <c r="D63" s="349"/>
      <c r="E63" s="349"/>
      <c r="F63" s="349"/>
      <c r="G63" s="349"/>
      <c r="H63" s="349"/>
      <c r="I63" s="351">
        <f>W57</f>
        <v>0</v>
      </c>
      <c r="J63" s="349"/>
      <c r="K63" s="349"/>
      <c r="L63" s="349"/>
      <c r="M63" s="349"/>
      <c r="N63" s="349"/>
      <c r="O63" s="349"/>
      <c r="P63" s="349"/>
      <c r="Q63" s="349"/>
      <c r="R63" s="349"/>
      <c r="S63" s="351">
        <f>AA57</f>
        <v>0</v>
      </c>
      <c r="T63" s="349"/>
      <c r="U63" s="349"/>
      <c r="V63" s="343"/>
      <c r="W63" s="343"/>
      <c r="X63" s="343"/>
      <c r="Y63" s="346"/>
      <c r="Z63" s="343"/>
      <c r="AA63" s="343"/>
      <c r="AB63" s="343"/>
      <c r="AC63" s="346"/>
    </row>
    <row r="64" spans="1:29" ht="20.100000000000001" customHeight="1">
      <c r="A64" s="349"/>
      <c r="B64" s="349"/>
      <c r="C64" s="349"/>
      <c r="D64" s="349"/>
      <c r="E64" s="349"/>
      <c r="F64" s="349"/>
      <c r="G64" s="349"/>
      <c r="H64" s="349"/>
      <c r="I64" s="351">
        <f>W56</f>
        <v>0</v>
      </c>
      <c r="J64" s="349"/>
      <c r="K64" s="349"/>
      <c r="L64" s="349"/>
      <c r="M64" s="349"/>
      <c r="N64" s="349"/>
      <c r="O64" s="349"/>
      <c r="P64" s="349"/>
      <c r="Q64" s="349"/>
      <c r="R64" s="349"/>
      <c r="S64" s="351">
        <f>AA56</f>
        <v>0</v>
      </c>
      <c r="T64" s="349"/>
      <c r="U64" s="349"/>
      <c r="V64" s="343"/>
      <c r="W64" s="343"/>
      <c r="X64" s="343"/>
      <c r="Y64" s="346"/>
      <c r="Z64" s="343"/>
      <c r="AA64" s="343"/>
      <c r="AB64" s="343"/>
      <c r="AC64" s="346"/>
    </row>
    <row r="65" spans="1:29" ht="20.100000000000001" customHeight="1">
      <c r="A65" s="349"/>
      <c r="B65" s="349"/>
      <c r="C65" s="349"/>
      <c r="D65" s="349"/>
      <c r="E65" s="349"/>
      <c r="F65" s="349"/>
      <c r="G65" s="349"/>
      <c r="H65" s="349"/>
      <c r="I65" s="351">
        <f>W55</f>
        <v>0</v>
      </c>
      <c r="J65" s="349"/>
      <c r="K65" s="349"/>
      <c r="L65" s="349"/>
      <c r="M65" s="349"/>
      <c r="N65" s="349"/>
      <c r="O65" s="349"/>
      <c r="P65" s="349"/>
      <c r="Q65" s="349"/>
      <c r="R65" s="349"/>
      <c r="S65" s="351">
        <f>AA55</f>
        <v>0</v>
      </c>
      <c r="T65" s="349"/>
      <c r="U65" s="349"/>
      <c r="V65" s="343"/>
      <c r="W65" s="345"/>
      <c r="X65" s="343"/>
      <c r="Y65" s="346"/>
      <c r="Z65" s="343"/>
      <c r="AA65" s="345"/>
      <c r="AB65" s="343"/>
      <c r="AC65" s="346"/>
    </row>
    <row r="66" spans="1:29" ht="20.100000000000001" customHeight="1">
      <c r="A66" s="349"/>
      <c r="B66" s="349"/>
      <c r="C66" s="349"/>
      <c r="D66" s="349"/>
      <c r="E66" s="349"/>
      <c r="F66" s="349"/>
      <c r="G66" s="349"/>
      <c r="H66" s="349"/>
      <c r="I66" s="351">
        <f>W54</f>
        <v>0</v>
      </c>
      <c r="J66" s="349"/>
      <c r="K66" s="349"/>
      <c r="L66" s="349"/>
      <c r="M66" s="349"/>
      <c r="N66" s="349"/>
      <c r="O66" s="349"/>
      <c r="P66" s="349"/>
      <c r="Q66" s="349"/>
      <c r="R66" s="349"/>
      <c r="S66" s="351">
        <f>AA54</f>
        <v>0</v>
      </c>
      <c r="T66" s="349"/>
      <c r="U66" s="349"/>
      <c r="V66" s="343"/>
      <c r="W66" s="544"/>
      <c r="X66" s="544"/>
      <c r="Y66" s="544"/>
      <c r="Z66" s="343"/>
      <c r="AA66" s="544"/>
      <c r="AB66" s="544"/>
      <c r="AC66" s="544"/>
    </row>
    <row r="67" spans="1:29" ht="24.95" customHeight="1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  <c r="U67" s="349"/>
      <c r="V67" s="343"/>
      <c r="W67" s="343"/>
      <c r="X67" s="343"/>
      <c r="Y67" s="346"/>
      <c r="Z67" s="343"/>
      <c r="AA67" s="343"/>
      <c r="AB67" s="343"/>
      <c r="AC67" s="346"/>
    </row>
    <row r="68" spans="1:29" ht="24.95" customHeight="1">
      <c r="A68" s="349"/>
      <c r="B68" s="349"/>
      <c r="C68" s="543">
        <f>W66</f>
        <v>0</v>
      </c>
      <c r="D68" s="543"/>
      <c r="E68" s="543"/>
      <c r="F68" s="543"/>
      <c r="G68" s="543"/>
      <c r="H68" s="543"/>
      <c r="I68" s="543"/>
      <c r="J68" s="349"/>
      <c r="K68" s="349"/>
      <c r="L68" s="349"/>
      <c r="M68" s="543">
        <f>AA66</f>
        <v>0</v>
      </c>
      <c r="N68" s="543"/>
      <c r="O68" s="543"/>
      <c r="P68" s="543"/>
      <c r="Q68" s="543"/>
      <c r="R68" s="543"/>
      <c r="S68" s="543"/>
      <c r="T68" s="349"/>
      <c r="U68" s="349"/>
      <c r="V68" s="343"/>
      <c r="W68" s="343"/>
      <c r="X68" s="343"/>
      <c r="Y68" s="346"/>
      <c r="Z68" s="343"/>
      <c r="AA68" s="343"/>
      <c r="AB68" s="343"/>
      <c r="AC68" s="346"/>
    </row>
    <row r="69" spans="1:29" ht="20.100000000000001" customHeight="1">
      <c r="A69" s="349"/>
      <c r="B69" s="349"/>
      <c r="C69" s="349"/>
      <c r="D69" s="349"/>
      <c r="E69" s="349"/>
      <c r="F69" s="349"/>
      <c r="G69" s="349"/>
      <c r="H69" s="349"/>
      <c r="I69" s="351">
        <f>W77</f>
        <v>0</v>
      </c>
      <c r="J69" s="349"/>
      <c r="K69" s="349"/>
      <c r="L69" s="349"/>
      <c r="M69" s="349"/>
      <c r="N69" s="349"/>
      <c r="O69" s="349"/>
      <c r="P69" s="349"/>
      <c r="Q69" s="349"/>
      <c r="R69" s="349"/>
      <c r="S69" s="351">
        <f>AA77</f>
        <v>0</v>
      </c>
      <c r="T69" s="349"/>
      <c r="U69" s="349"/>
      <c r="V69" s="343"/>
      <c r="W69" s="343"/>
      <c r="X69" s="343"/>
      <c r="Y69" s="346"/>
      <c r="Z69" s="343"/>
      <c r="AA69" s="343"/>
      <c r="AB69" s="343"/>
      <c r="AC69" s="346"/>
    </row>
    <row r="70" spans="1:29" ht="20.100000000000001" customHeight="1">
      <c r="A70" s="349"/>
      <c r="B70" s="349"/>
      <c r="C70" s="349"/>
      <c r="D70" s="349"/>
      <c r="E70" s="349"/>
      <c r="F70" s="349"/>
      <c r="G70" s="349"/>
      <c r="H70" s="349"/>
      <c r="I70" s="351">
        <f>W76</f>
        <v>0</v>
      </c>
      <c r="J70" s="349"/>
      <c r="K70" s="349"/>
      <c r="L70" s="349"/>
      <c r="M70" s="349"/>
      <c r="N70" s="349"/>
      <c r="O70" s="349"/>
      <c r="P70" s="349"/>
      <c r="Q70" s="349"/>
      <c r="R70" s="349"/>
      <c r="S70" s="351">
        <f>AA76</f>
        <v>0</v>
      </c>
      <c r="T70" s="349"/>
      <c r="U70" s="349"/>
      <c r="V70" s="343"/>
      <c r="W70" s="343"/>
      <c r="X70" s="343"/>
      <c r="Y70" s="346"/>
      <c r="Z70" s="343"/>
      <c r="AA70" s="343"/>
      <c r="AB70" s="343"/>
      <c r="AC70" s="346"/>
    </row>
    <row r="71" spans="1:29" ht="20.100000000000001" customHeight="1">
      <c r="A71" s="349"/>
      <c r="B71" s="349"/>
      <c r="C71" s="349"/>
      <c r="D71" s="349"/>
      <c r="E71" s="349"/>
      <c r="F71" s="349"/>
      <c r="G71" s="349"/>
      <c r="H71" s="349"/>
      <c r="I71" s="351">
        <f>W75</f>
        <v>0</v>
      </c>
      <c r="J71" s="349"/>
      <c r="K71" s="349"/>
      <c r="L71" s="349"/>
      <c r="M71" s="349"/>
      <c r="N71" s="349"/>
      <c r="O71" s="349"/>
      <c r="P71" s="349"/>
      <c r="Q71" s="349"/>
      <c r="R71" s="349"/>
      <c r="S71" s="351">
        <f>AA75</f>
        <v>0</v>
      </c>
      <c r="T71" s="349"/>
      <c r="U71" s="349"/>
      <c r="V71" s="343"/>
      <c r="W71" s="343"/>
      <c r="X71" s="343"/>
      <c r="Y71" s="346"/>
      <c r="Z71" s="84"/>
      <c r="AA71" s="84"/>
      <c r="AB71" s="84"/>
      <c r="AC71" s="89"/>
    </row>
    <row r="72" spans="1:29" ht="20.100000000000001" customHeight="1">
      <c r="A72" s="349"/>
      <c r="B72" s="349"/>
      <c r="C72" s="349"/>
      <c r="D72" s="349"/>
      <c r="E72" s="349"/>
      <c r="F72" s="349"/>
      <c r="G72" s="349"/>
      <c r="H72" s="349"/>
      <c r="I72" s="351">
        <f>W74</f>
        <v>0</v>
      </c>
      <c r="J72" s="349"/>
      <c r="K72" s="349"/>
      <c r="L72" s="349"/>
      <c r="M72" s="349"/>
      <c r="N72" s="349"/>
      <c r="O72" s="349"/>
      <c r="P72" s="349"/>
      <c r="Q72" s="349"/>
      <c r="R72" s="349"/>
      <c r="S72" s="351">
        <f>AA74</f>
        <v>0</v>
      </c>
      <c r="T72" s="349"/>
      <c r="U72" s="349"/>
      <c r="V72" s="343"/>
      <c r="W72" s="343"/>
      <c r="X72" s="343"/>
      <c r="Y72" s="346"/>
      <c r="Z72" s="84"/>
      <c r="AA72" s="84"/>
      <c r="AB72" s="84"/>
      <c r="AC72" s="89"/>
    </row>
    <row r="73" spans="1:29" ht="20.100000000000001" customHeight="1">
      <c r="A73" s="349"/>
      <c r="B73" s="349"/>
      <c r="C73" s="349"/>
      <c r="D73" s="349"/>
      <c r="E73" s="349"/>
      <c r="F73" s="349"/>
      <c r="G73" s="349"/>
      <c r="H73" s="349"/>
      <c r="I73" s="351">
        <f>W73</f>
        <v>0</v>
      </c>
      <c r="J73" s="349"/>
      <c r="K73" s="349"/>
      <c r="L73" s="349"/>
      <c r="M73" s="349"/>
      <c r="N73" s="349"/>
      <c r="O73" s="349"/>
      <c r="P73" s="349"/>
      <c r="Q73" s="349"/>
      <c r="R73" s="349"/>
      <c r="S73" s="351">
        <f>AA73</f>
        <v>0</v>
      </c>
      <c r="T73" s="349"/>
      <c r="U73" s="349"/>
      <c r="V73" s="343"/>
      <c r="W73" s="343"/>
      <c r="X73" s="343"/>
      <c r="Y73" s="346"/>
      <c r="Z73" s="84"/>
      <c r="AA73" s="84"/>
      <c r="AB73" s="84"/>
      <c r="AC73" s="89"/>
    </row>
    <row r="74" spans="1:29" ht="20.100000000000001" customHeight="1">
      <c r="A74" s="349"/>
      <c r="B74" s="349"/>
      <c r="C74" s="349"/>
      <c r="D74" s="349"/>
      <c r="E74" s="349"/>
      <c r="F74" s="349"/>
      <c r="G74" s="349"/>
      <c r="H74" s="349"/>
      <c r="I74" s="351">
        <f>W72</f>
        <v>0</v>
      </c>
      <c r="J74" s="349"/>
      <c r="K74" s="349"/>
      <c r="L74" s="349"/>
      <c r="M74" s="349"/>
      <c r="N74" s="349"/>
      <c r="O74" s="349"/>
      <c r="P74" s="349"/>
      <c r="Q74" s="349"/>
      <c r="R74" s="349"/>
      <c r="S74" s="351">
        <f>AA72</f>
        <v>0</v>
      </c>
      <c r="T74" s="349"/>
      <c r="U74" s="349"/>
      <c r="V74" s="343"/>
      <c r="W74" s="343"/>
      <c r="X74" s="343"/>
      <c r="Y74" s="346"/>
      <c r="Z74" s="84"/>
      <c r="AA74" s="84"/>
      <c r="AB74" s="84"/>
      <c r="AC74" s="89"/>
    </row>
    <row r="75" spans="1:29" ht="20.100000000000001" customHeight="1">
      <c r="A75" s="349"/>
      <c r="B75" s="349"/>
      <c r="C75" s="349"/>
      <c r="D75" s="349"/>
      <c r="E75" s="349"/>
      <c r="F75" s="349"/>
      <c r="G75" s="349"/>
      <c r="H75" s="349"/>
      <c r="I75" s="351">
        <f>W71</f>
        <v>0</v>
      </c>
      <c r="J75" s="349"/>
      <c r="K75" s="349"/>
      <c r="L75" s="349"/>
      <c r="M75" s="349"/>
      <c r="N75" s="349"/>
      <c r="O75" s="349"/>
      <c r="P75" s="349"/>
      <c r="Q75" s="349"/>
      <c r="R75" s="349"/>
      <c r="S75" s="351">
        <f>AA71</f>
        <v>0</v>
      </c>
      <c r="T75" s="349"/>
      <c r="U75" s="349"/>
      <c r="V75" s="343"/>
      <c r="W75" s="343"/>
      <c r="X75" s="343"/>
      <c r="Y75" s="346"/>
      <c r="Z75" s="84"/>
      <c r="AA75" s="84"/>
      <c r="AB75" s="84"/>
      <c r="AC75" s="89"/>
    </row>
    <row r="76" spans="1:29" ht="20.100000000000001" customHeight="1">
      <c r="A76" s="349"/>
      <c r="B76" s="349"/>
      <c r="C76" s="349"/>
      <c r="D76" s="349"/>
      <c r="E76" s="349"/>
      <c r="F76" s="349"/>
      <c r="G76" s="349"/>
      <c r="H76" s="349"/>
      <c r="I76" s="351">
        <f>W70</f>
        <v>0</v>
      </c>
      <c r="J76" s="349"/>
      <c r="K76" s="349"/>
      <c r="L76" s="349"/>
      <c r="M76" s="349"/>
      <c r="N76" s="349"/>
      <c r="O76" s="349"/>
      <c r="P76" s="349"/>
      <c r="Q76" s="349"/>
      <c r="R76" s="349"/>
      <c r="S76" s="351">
        <f>AA70</f>
        <v>0</v>
      </c>
      <c r="T76" s="349"/>
      <c r="U76" s="349"/>
      <c r="V76" s="343"/>
      <c r="W76" s="343"/>
      <c r="X76" s="343"/>
      <c r="Y76" s="346"/>
      <c r="Z76" s="84"/>
      <c r="AA76" s="84"/>
      <c r="AB76" s="84"/>
      <c r="AC76" s="89"/>
    </row>
    <row r="77" spans="1:29" ht="20.100000000000001" customHeight="1">
      <c r="A77" s="349"/>
      <c r="B77" s="349"/>
      <c r="C77" s="349"/>
      <c r="D77" s="349"/>
      <c r="E77" s="349"/>
      <c r="F77" s="349"/>
      <c r="G77" s="349"/>
      <c r="H77" s="349"/>
      <c r="I77" s="351">
        <f>W69</f>
        <v>0</v>
      </c>
      <c r="J77" s="349"/>
      <c r="K77" s="349"/>
      <c r="L77" s="349"/>
      <c r="M77" s="349"/>
      <c r="N77" s="349"/>
      <c r="O77" s="349"/>
      <c r="P77" s="349"/>
      <c r="Q77" s="349"/>
      <c r="R77" s="349"/>
      <c r="S77" s="351">
        <f>AA69</f>
        <v>0</v>
      </c>
      <c r="T77" s="349"/>
      <c r="U77" s="349"/>
      <c r="V77" s="343"/>
      <c r="W77" s="343"/>
      <c r="X77" s="343"/>
      <c r="Y77" s="346"/>
      <c r="Z77" s="84"/>
      <c r="AA77" s="84"/>
      <c r="AB77" s="84"/>
      <c r="AC77" s="89"/>
    </row>
    <row r="78" spans="1:29" ht="20.100000000000001" customHeight="1">
      <c r="A78" s="349"/>
      <c r="B78" s="349"/>
      <c r="C78" s="349"/>
      <c r="D78" s="349"/>
      <c r="E78" s="349"/>
      <c r="F78" s="349"/>
      <c r="G78" s="349"/>
      <c r="H78" s="349"/>
      <c r="I78" s="351">
        <f>W68</f>
        <v>0</v>
      </c>
      <c r="J78" s="349"/>
      <c r="K78" s="349"/>
      <c r="L78" s="349"/>
      <c r="M78" s="349"/>
      <c r="N78" s="349"/>
      <c r="O78" s="349"/>
      <c r="P78" s="349"/>
      <c r="Q78" s="349"/>
      <c r="R78" s="349"/>
      <c r="S78" s="351">
        <f>AA68</f>
        <v>0</v>
      </c>
      <c r="T78" s="349"/>
      <c r="U78" s="349"/>
      <c r="V78" s="343"/>
      <c r="W78" s="345"/>
      <c r="X78" s="343"/>
      <c r="Y78" s="346"/>
      <c r="Z78" s="84"/>
      <c r="AA78" s="88"/>
      <c r="AB78" s="84"/>
      <c r="AC78" s="89"/>
    </row>
    <row r="79" spans="1:29" ht="20.100000000000001" customHeight="1">
      <c r="A79" s="349"/>
      <c r="B79" s="349"/>
      <c r="C79" s="349"/>
      <c r="D79" s="349"/>
      <c r="E79" s="349"/>
      <c r="F79" s="349"/>
      <c r="G79" s="349"/>
      <c r="H79" s="349"/>
      <c r="I79" s="351">
        <f>W67</f>
        <v>0</v>
      </c>
      <c r="J79" s="349"/>
      <c r="K79" s="349"/>
      <c r="L79" s="349"/>
      <c r="M79" s="349"/>
      <c r="N79" s="349"/>
      <c r="O79" s="349"/>
      <c r="P79" s="349"/>
      <c r="Q79" s="349"/>
      <c r="R79" s="349"/>
      <c r="S79" s="351">
        <f>AA67</f>
        <v>0</v>
      </c>
      <c r="T79" s="349"/>
      <c r="U79" s="349"/>
      <c r="V79" s="343"/>
      <c r="W79" s="343"/>
      <c r="X79" s="343"/>
      <c r="Y79" s="343"/>
    </row>
    <row r="80" spans="1:29" ht="20.100000000000001" customHeight="1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3"/>
      <c r="W80" s="343"/>
      <c r="X80" s="343"/>
      <c r="Y80" s="343"/>
    </row>
    <row r="81" spans="1:25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  <c r="S81" s="349"/>
      <c r="T81" s="349"/>
      <c r="U81" s="349"/>
      <c r="V81" s="343"/>
      <c r="W81" s="343"/>
      <c r="X81" s="343"/>
      <c r="Y81" s="343"/>
    </row>
  </sheetData>
  <mergeCells count="24">
    <mergeCell ref="W1:Y1"/>
    <mergeCell ref="AA1:AC1"/>
    <mergeCell ref="C3:I3"/>
    <mergeCell ref="M3:S3"/>
    <mergeCell ref="W14:Y14"/>
    <mergeCell ref="AA14:AC14"/>
    <mergeCell ref="C16:I16"/>
    <mergeCell ref="M16:S16"/>
    <mergeCell ref="W27:Y27"/>
    <mergeCell ref="AA27:AC27"/>
    <mergeCell ref="C29:I29"/>
    <mergeCell ref="M29:S29"/>
    <mergeCell ref="W40:Y40"/>
    <mergeCell ref="AA40:AC40"/>
    <mergeCell ref="C42:I42"/>
    <mergeCell ref="M42:S42"/>
    <mergeCell ref="W53:Y53"/>
    <mergeCell ref="AA53:AC53"/>
    <mergeCell ref="C55:I55"/>
    <mergeCell ref="M55:S55"/>
    <mergeCell ref="W66:Y66"/>
    <mergeCell ref="AA66:AC66"/>
    <mergeCell ref="C68:I68"/>
    <mergeCell ref="M68:S6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 tint="0.39997558519241921"/>
  </sheetPr>
  <dimension ref="A1:AE81"/>
  <sheetViews>
    <sheetView zoomScaleNormal="100" workbookViewId="0">
      <selection activeCell="W5" sqref="W5"/>
    </sheetView>
  </sheetViews>
  <sheetFormatPr defaultRowHeight="12.75"/>
  <cols>
    <col min="1" max="1" width="6.7109375" style="83" customWidth="1"/>
    <col min="2" max="2" width="0.140625" style="83" customWidth="1"/>
    <col min="3" max="6" width="7.7109375" style="83" customWidth="1"/>
    <col min="7" max="7" width="4.7109375" style="83" customWidth="1"/>
    <col min="8" max="8" width="10.7109375" style="83" customWidth="1"/>
    <col min="9" max="9" width="7.7109375" style="83" customWidth="1"/>
    <col min="10" max="10" width="0.85546875" style="83" customWidth="1"/>
    <col min="11" max="11" width="2.7109375" style="83" customWidth="1"/>
    <col min="12" max="12" width="0.85546875" style="83" customWidth="1"/>
    <col min="13" max="16" width="7.7109375" style="83" customWidth="1"/>
    <col min="17" max="17" width="4.7109375" style="83" customWidth="1"/>
    <col min="18" max="18" width="10.7109375" style="83" customWidth="1"/>
    <col min="19" max="19" width="7.7109375" style="83" customWidth="1"/>
    <col min="20" max="20" width="0.140625" style="83" customWidth="1"/>
    <col min="21" max="21" width="7.7109375" style="83" customWidth="1"/>
    <col min="22" max="22" width="9.140625" style="83"/>
    <col min="23" max="23" width="24" style="83" bestFit="1" customWidth="1"/>
    <col min="24" max="24" width="5" style="83" bestFit="1" customWidth="1"/>
    <col min="25" max="25" width="5.7109375" style="83" bestFit="1" customWidth="1"/>
    <col min="26" max="26" width="8.5703125" style="83" bestFit="1" customWidth="1"/>
    <col min="27" max="27" width="24" style="83" bestFit="1" customWidth="1"/>
    <col min="28" max="28" width="5" style="83" bestFit="1" customWidth="1"/>
    <col min="29" max="29" width="5.7109375" style="83" bestFit="1" customWidth="1"/>
    <col min="30" max="16384" width="9.140625" style="83"/>
  </cols>
  <sheetData>
    <row r="1" spans="1:31" ht="20.100000000000001" customHeight="1">
      <c r="A1" s="438">
        <v>2015</v>
      </c>
      <c r="B1" s="438"/>
      <c r="C1" s="438" t="s">
        <v>406</v>
      </c>
      <c r="E1" s="82" t="s">
        <v>618</v>
      </c>
      <c r="H1" s="440" t="s">
        <v>407</v>
      </c>
      <c r="V1" s="343"/>
      <c r="W1" s="544" t="s">
        <v>465</v>
      </c>
      <c r="X1" s="544"/>
      <c r="Y1" s="544"/>
      <c r="Z1" s="343"/>
      <c r="AA1" s="544" t="s">
        <v>470</v>
      </c>
      <c r="AB1" s="544"/>
      <c r="AC1" s="544"/>
      <c r="AD1" s="343"/>
      <c r="AE1" s="343"/>
    </row>
    <row r="2" spans="1:31" ht="20.100000000000001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343"/>
      <c r="W2" s="343" t="s">
        <v>26</v>
      </c>
      <c r="X2" s="343">
        <v>1051</v>
      </c>
      <c r="Y2" s="344">
        <v>0.22626480086114101</v>
      </c>
      <c r="Z2" s="343"/>
      <c r="AA2" s="343" t="s">
        <v>26</v>
      </c>
      <c r="AB2" s="343">
        <v>1070</v>
      </c>
      <c r="AC2" s="344">
        <v>0.28903295515937333</v>
      </c>
      <c r="AD2" s="343"/>
      <c r="AE2" s="343"/>
    </row>
    <row r="3" spans="1:31" ht="24.95" customHeight="1">
      <c r="A3" s="85"/>
      <c r="B3" s="85"/>
      <c r="C3" s="545" t="str">
        <f>W1</f>
        <v>Vyrai, visos amžiaus grupės (4645 atv.)</v>
      </c>
      <c r="D3" s="545"/>
      <c r="E3" s="545"/>
      <c r="F3" s="545"/>
      <c r="G3" s="545"/>
      <c r="H3" s="545"/>
      <c r="I3" s="545"/>
      <c r="J3" s="86"/>
      <c r="K3" s="85"/>
      <c r="L3" s="85"/>
      <c r="M3" s="545" t="str">
        <f>AA1</f>
        <v>Moterys, visos amžiaus grupės (3702 atv.)</v>
      </c>
      <c r="N3" s="545"/>
      <c r="O3" s="545"/>
      <c r="P3" s="545"/>
      <c r="Q3" s="545"/>
      <c r="R3" s="545"/>
      <c r="S3" s="545"/>
      <c r="T3" s="85"/>
      <c r="U3" s="85"/>
      <c r="V3" s="343"/>
      <c r="W3" s="343" t="s">
        <v>220</v>
      </c>
      <c r="X3" s="343">
        <v>181</v>
      </c>
      <c r="Y3" s="344">
        <v>3.896663078579117E-2</v>
      </c>
      <c r="Z3" s="343"/>
      <c r="AA3" s="343" t="s">
        <v>233</v>
      </c>
      <c r="AB3" s="343">
        <v>153</v>
      </c>
      <c r="AC3" s="344">
        <v>4.1329011345218804E-2</v>
      </c>
      <c r="AD3" s="343"/>
      <c r="AE3" s="343"/>
    </row>
    <row r="4" spans="1:31" ht="20.100000000000001" customHeight="1">
      <c r="A4" s="85"/>
      <c r="B4" s="85"/>
      <c r="C4" s="85"/>
      <c r="D4" s="85"/>
      <c r="E4" s="85"/>
      <c r="F4" s="85"/>
      <c r="G4" s="85"/>
      <c r="H4" s="85"/>
      <c r="I4" s="87" t="str">
        <f>W12</f>
        <v>Plaučių, trachėjos, bronchų</v>
      </c>
      <c r="J4" s="87"/>
      <c r="K4" s="85"/>
      <c r="L4" s="85"/>
      <c r="M4" s="85"/>
      <c r="N4" s="85"/>
      <c r="O4" s="85"/>
      <c r="P4" s="85"/>
      <c r="Q4" s="85"/>
      <c r="R4" s="85"/>
      <c r="S4" s="87" t="str">
        <f>AA12</f>
        <v>Krūties</v>
      </c>
      <c r="T4" s="85"/>
      <c r="U4" s="85"/>
      <c r="V4" s="343"/>
      <c r="W4" s="343" t="s">
        <v>213</v>
      </c>
      <c r="X4" s="343">
        <v>183</v>
      </c>
      <c r="Y4" s="344">
        <v>3.9397201291711516E-2</v>
      </c>
      <c r="Z4" s="343"/>
      <c r="AA4" s="343" t="s">
        <v>212</v>
      </c>
      <c r="AB4" s="343">
        <v>188</v>
      </c>
      <c r="AC4" s="344">
        <v>5.0783360345759046E-2</v>
      </c>
      <c r="AD4" s="343"/>
      <c r="AE4" s="343"/>
    </row>
    <row r="5" spans="1:31" ht="20.100000000000001" customHeight="1">
      <c r="A5" s="85"/>
      <c r="B5" s="85"/>
      <c r="C5" s="85"/>
      <c r="D5" s="85"/>
      <c r="E5" s="85"/>
      <c r="F5" s="85"/>
      <c r="G5" s="85"/>
      <c r="H5" s="85"/>
      <c r="I5" s="87" t="str">
        <f>W11</f>
        <v>Priešinės liaukos</v>
      </c>
      <c r="J5" s="87"/>
      <c r="K5" s="85"/>
      <c r="L5" s="85"/>
      <c r="M5" s="85"/>
      <c r="N5" s="85"/>
      <c r="O5" s="85"/>
      <c r="P5" s="85"/>
      <c r="Q5" s="85"/>
      <c r="R5" s="85"/>
      <c r="S5" s="87" t="str">
        <f>AA11</f>
        <v>Gaubtinės žarnos</v>
      </c>
      <c r="T5" s="85"/>
      <c r="U5" s="85"/>
      <c r="V5" s="343"/>
      <c r="W5" s="343" t="s">
        <v>237</v>
      </c>
      <c r="X5" s="343">
        <v>207</v>
      </c>
      <c r="Y5" s="344">
        <v>4.4564047362755654E-2</v>
      </c>
      <c r="Z5" s="343"/>
      <c r="AA5" s="343" t="s">
        <v>237</v>
      </c>
      <c r="AB5" s="343">
        <v>194</v>
      </c>
      <c r="AC5" s="344">
        <v>5.2404105888708807E-2</v>
      </c>
      <c r="AD5" s="343"/>
      <c r="AE5" s="343"/>
    </row>
    <row r="6" spans="1:31" ht="20.100000000000001" customHeight="1">
      <c r="A6" s="85"/>
      <c r="B6" s="85"/>
      <c r="C6" s="85"/>
      <c r="D6" s="85"/>
      <c r="E6" s="85"/>
      <c r="F6" s="85"/>
      <c r="G6" s="85"/>
      <c r="H6" s="85"/>
      <c r="I6" s="87" t="str">
        <f>W10</f>
        <v>Skrandžio</v>
      </c>
      <c r="J6" s="87"/>
      <c r="K6" s="85"/>
      <c r="L6" s="85"/>
      <c r="M6" s="85"/>
      <c r="N6" s="85"/>
      <c r="O6" s="85"/>
      <c r="P6" s="85"/>
      <c r="Q6" s="85"/>
      <c r="R6" s="85"/>
      <c r="S6" s="87" t="str">
        <f>AA10</f>
        <v>Kiaušidžių</v>
      </c>
      <c r="T6" s="85"/>
      <c r="U6" s="85"/>
      <c r="V6" s="343"/>
      <c r="W6" s="343" t="s">
        <v>219</v>
      </c>
      <c r="X6" s="343">
        <v>226</v>
      </c>
      <c r="Y6" s="344">
        <v>4.8654467168998926E-2</v>
      </c>
      <c r="Z6" s="343"/>
      <c r="AA6" s="343" t="s">
        <v>232</v>
      </c>
      <c r="AB6" s="343">
        <v>207</v>
      </c>
      <c r="AC6" s="344">
        <v>5.5915721231766614E-2</v>
      </c>
      <c r="AD6" s="343"/>
      <c r="AE6" s="343"/>
    </row>
    <row r="7" spans="1:31" ht="20.100000000000001" customHeight="1">
      <c r="A7" s="85"/>
      <c r="B7" s="85"/>
      <c r="C7" s="85"/>
      <c r="D7" s="85"/>
      <c r="E7" s="85"/>
      <c r="F7" s="85"/>
      <c r="G7" s="85"/>
      <c r="H7" s="85"/>
      <c r="I7" s="87" t="str">
        <f>W9</f>
        <v>Gaubtinės žarnos</v>
      </c>
      <c r="J7" s="87"/>
      <c r="K7" s="85"/>
      <c r="L7" s="85"/>
      <c r="M7" s="85"/>
      <c r="N7" s="85"/>
      <c r="O7" s="85"/>
      <c r="P7" s="85"/>
      <c r="Q7" s="85"/>
      <c r="R7" s="85"/>
      <c r="S7" s="87" t="str">
        <f>AA9</f>
        <v>Skrandžio</v>
      </c>
      <c r="T7" s="85"/>
      <c r="U7" s="85"/>
      <c r="V7" s="343"/>
      <c r="W7" s="343" t="s">
        <v>211</v>
      </c>
      <c r="X7" s="343">
        <v>231</v>
      </c>
      <c r="Y7" s="344">
        <v>4.9730893433799786E-2</v>
      </c>
      <c r="Z7" s="343"/>
      <c r="AA7" s="343" t="s">
        <v>219</v>
      </c>
      <c r="AB7" s="343">
        <v>243</v>
      </c>
      <c r="AC7" s="344">
        <v>6.5640194489465148E-2</v>
      </c>
      <c r="AD7" s="343"/>
      <c r="AE7" s="343"/>
    </row>
    <row r="8" spans="1:31" ht="20.100000000000001" customHeight="1">
      <c r="A8" s="85"/>
      <c r="B8" s="85"/>
      <c r="C8" s="85"/>
      <c r="D8" s="85"/>
      <c r="E8" s="85"/>
      <c r="F8" s="85"/>
      <c r="G8" s="85"/>
      <c r="H8" s="85"/>
      <c r="I8" s="87" t="str">
        <f>W8</f>
        <v>Tiesiosios žarnos, išangės</v>
      </c>
      <c r="J8" s="87"/>
      <c r="K8" s="85"/>
      <c r="L8" s="85"/>
      <c r="M8" s="85"/>
      <c r="N8" s="85"/>
      <c r="O8" s="85"/>
      <c r="P8" s="85"/>
      <c r="Q8" s="85"/>
      <c r="R8" s="85"/>
      <c r="S8" s="87" t="str">
        <f>AA8</f>
        <v>Plaučių, trachėjos, bronchų</v>
      </c>
      <c r="T8" s="85"/>
      <c r="U8" s="85"/>
      <c r="V8" s="343"/>
      <c r="W8" s="343" t="s">
        <v>212</v>
      </c>
      <c r="X8" s="343">
        <v>252</v>
      </c>
      <c r="Y8" s="344">
        <v>5.4251883745963403E-2</v>
      </c>
      <c r="Z8" s="343"/>
      <c r="AA8" s="343" t="s">
        <v>217</v>
      </c>
      <c r="AB8" s="343">
        <v>246</v>
      </c>
      <c r="AC8" s="344">
        <v>6.6450567260940036E-2</v>
      </c>
      <c r="AD8" s="343"/>
      <c r="AE8" s="343"/>
    </row>
    <row r="9" spans="1:31" ht="20.100000000000001" customHeight="1">
      <c r="A9" s="85"/>
      <c r="B9" s="85"/>
      <c r="C9" s="85"/>
      <c r="D9" s="85"/>
      <c r="E9" s="85"/>
      <c r="F9" s="85"/>
      <c r="G9" s="85"/>
      <c r="H9" s="85"/>
      <c r="I9" s="87" t="str">
        <f>W7</f>
        <v>Burnos ertmės ir ryklės</v>
      </c>
      <c r="J9" s="87"/>
      <c r="K9" s="85"/>
      <c r="L9" s="85"/>
      <c r="M9" s="85"/>
      <c r="N9" s="85"/>
      <c r="O9" s="85"/>
      <c r="P9" s="85"/>
      <c r="Q9" s="85"/>
      <c r="R9" s="85"/>
      <c r="S9" s="87" t="str">
        <f>AA7</f>
        <v>Kasos</v>
      </c>
      <c r="T9" s="85"/>
      <c r="U9" s="85"/>
      <c r="V9" s="343"/>
      <c r="W9" s="343" t="s">
        <v>214</v>
      </c>
      <c r="X9" s="343">
        <v>257</v>
      </c>
      <c r="Y9" s="344">
        <v>5.5328310010764263E-2</v>
      </c>
      <c r="Z9" s="343"/>
      <c r="AA9" s="343" t="s">
        <v>215</v>
      </c>
      <c r="AB9" s="343">
        <v>268</v>
      </c>
      <c r="AC9" s="344">
        <v>7.2393300918422471E-2</v>
      </c>
      <c r="AD9" s="343"/>
      <c r="AE9" s="343"/>
    </row>
    <row r="10" spans="1:31" ht="20.100000000000001" customHeight="1">
      <c r="A10" s="85"/>
      <c r="B10" s="85"/>
      <c r="C10" s="85"/>
      <c r="D10" s="85"/>
      <c r="E10" s="85"/>
      <c r="F10" s="85"/>
      <c r="G10" s="85"/>
      <c r="H10" s="85"/>
      <c r="I10" s="87" t="str">
        <f>W6</f>
        <v>Kasos</v>
      </c>
      <c r="J10" s="87"/>
      <c r="K10" s="85"/>
      <c r="L10" s="85"/>
      <c r="M10" s="85"/>
      <c r="N10" s="85"/>
      <c r="O10" s="85"/>
      <c r="P10" s="85"/>
      <c r="Q10" s="85"/>
      <c r="R10" s="85"/>
      <c r="S10" s="87" t="str">
        <f>AA6</f>
        <v>Gimdos kaklelio</v>
      </c>
      <c r="T10" s="85"/>
      <c r="U10" s="85"/>
      <c r="V10" s="343"/>
      <c r="W10" s="343" t="s">
        <v>215</v>
      </c>
      <c r="X10" s="343">
        <v>413</v>
      </c>
      <c r="Y10" s="344">
        <v>8.8912809472551133E-2</v>
      </c>
      <c r="Z10" s="343"/>
      <c r="AA10" s="343" t="s">
        <v>231</v>
      </c>
      <c r="AB10" s="343">
        <v>278</v>
      </c>
      <c r="AC10" s="344">
        <v>7.5094543490005397E-2</v>
      </c>
      <c r="AD10" s="343"/>
      <c r="AE10" s="343"/>
    </row>
    <row r="11" spans="1:31" ht="20.100000000000001" customHeight="1">
      <c r="A11" s="85"/>
      <c r="B11" s="85"/>
      <c r="C11" s="85"/>
      <c r="D11" s="85"/>
      <c r="E11" s="85"/>
      <c r="F11" s="85"/>
      <c r="G11" s="85"/>
      <c r="H11" s="85"/>
      <c r="I11" s="87" t="str">
        <f>W5</f>
        <v>Nepatikslintos lokalizacijos</v>
      </c>
      <c r="J11" s="87"/>
      <c r="K11" s="85"/>
      <c r="L11" s="85"/>
      <c r="M11" s="85"/>
      <c r="N11" s="85"/>
      <c r="O11" s="85"/>
      <c r="P11" s="85"/>
      <c r="Q11" s="85"/>
      <c r="R11" s="85"/>
      <c r="S11" s="87" t="str">
        <f>AA5</f>
        <v>Nepatikslintos lokalizacijos</v>
      </c>
      <c r="T11" s="85"/>
      <c r="U11" s="85"/>
      <c r="V11" s="343"/>
      <c r="W11" s="343" t="s">
        <v>218</v>
      </c>
      <c r="X11" s="343">
        <v>544</v>
      </c>
      <c r="Y11" s="344">
        <v>0.11711517761033369</v>
      </c>
      <c r="Z11" s="343"/>
      <c r="AA11" s="343" t="s">
        <v>214</v>
      </c>
      <c r="AB11" s="343">
        <v>285</v>
      </c>
      <c r="AC11" s="344">
        <v>7.698541329011345E-2</v>
      </c>
      <c r="AD11" s="343"/>
      <c r="AE11" s="343"/>
    </row>
    <row r="12" spans="1:31" ht="20.100000000000001" customHeight="1">
      <c r="A12" s="85"/>
      <c r="B12" s="85"/>
      <c r="C12" s="85"/>
      <c r="D12" s="85"/>
      <c r="E12" s="85"/>
      <c r="F12" s="85"/>
      <c r="G12" s="85"/>
      <c r="H12" s="85"/>
      <c r="I12" s="87" t="str">
        <f>W4</f>
        <v>Inkstų</v>
      </c>
      <c r="J12" s="87"/>
      <c r="K12" s="85"/>
      <c r="L12" s="85"/>
      <c r="M12" s="85"/>
      <c r="N12" s="85"/>
      <c r="O12" s="85"/>
      <c r="P12" s="85"/>
      <c r="Q12" s="85"/>
      <c r="R12" s="85"/>
      <c r="S12" s="87" t="str">
        <f>AA4</f>
        <v>Tiesiosios žarnos, išangės</v>
      </c>
      <c r="T12" s="85"/>
      <c r="U12" s="85"/>
      <c r="V12" s="343"/>
      <c r="W12" s="343" t="s">
        <v>217</v>
      </c>
      <c r="X12" s="343">
        <v>1100</v>
      </c>
      <c r="Y12" s="344">
        <v>0.23681377825618946</v>
      </c>
      <c r="Z12" s="343"/>
      <c r="AA12" s="343" t="s">
        <v>234</v>
      </c>
      <c r="AB12" s="343">
        <v>570</v>
      </c>
      <c r="AC12" s="344">
        <v>0.1539708265802269</v>
      </c>
      <c r="AD12" s="343"/>
      <c r="AE12" s="343"/>
    </row>
    <row r="13" spans="1:31" ht="20.100000000000001" customHeight="1">
      <c r="A13" s="85"/>
      <c r="B13" s="85"/>
      <c r="C13" s="85"/>
      <c r="D13" s="85"/>
      <c r="E13" s="85"/>
      <c r="F13" s="85"/>
      <c r="G13" s="85"/>
      <c r="H13" s="85"/>
      <c r="I13" s="87" t="str">
        <f>W3</f>
        <v>Šlapimo pūslės</v>
      </c>
      <c r="J13" s="87"/>
      <c r="K13" s="85"/>
      <c r="L13" s="85"/>
      <c r="M13" s="85"/>
      <c r="N13" s="85"/>
      <c r="O13" s="85"/>
      <c r="P13" s="85"/>
      <c r="Q13" s="85"/>
      <c r="R13" s="85"/>
      <c r="S13" s="87" t="str">
        <f>AA3</f>
        <v>Gimdos kūno</v>
      </c>
      <c r="T13" s="85"/>
      <c r="U13" s="85"/>
      <c r="V13" s="343"/>
      <c r="W13" s="345" t="s">
        <v>210</v>
      </c>
      <c r="X13" s="343">
        <v>4645</v>
      </c>
      <c r="Y13" s="344">
        <v>0.99999999999999978</v>
      </c>
      <c r="Z13" s="343"/>
      <c r="AA13" s="345" t="s">
        <v>210</v>
      </c>
      <c r="AB13" s="343">
        <v>3702</v>
      </c>
      <c r="AC13" s="344">
        <v>1</v>
      </c>
      <c r="AD13" s="343"/>
      <c r="AE13" s="343"/>
    </row>
    <row r="14" spans="1:31" ht="20.100000000000001" customHeight="1">
      <c r="A14" s="85"/>
      <c r="B14" s="85"/>
      <c r="C14" s="85"/>
      <c r="D14" s="85"/>
      <c r="E14" s="85"/>
      <c r="F14" s="85"/>
      <c r="G14" s="85"/>
      <c r="H14" s="85"/>
      <c r="I14" s="87" t="str">
        <f>W2</f>
        <v>Kiti</v>
      </c>
      <c r="J14" s="87"/>
      <c r="K14" s="85"/>
      <c r="L14" s="85"/>
      <c r="M14" s="85"/>
      <c r="N14" s="85"/>
      <c r="O14" s="85"/>
      <c r="P14" s="85"/>
      <c r="Q14" s="85"/>
      <c r="R14" s="85"/>
      <c r="S14" s="87" t="str">
        <f>AA2</f>
        <v>Kiti</v>
      </c>
      <c r="T14" s="85"/>
      <c r="U14" s="85"/>
      <c r="V14" s="343"/>
      <c r="W14" s="544" t="s">
        <v>442</v>
      </c>
      <c r="X14" s="544"/>
      <c r="Y14" s="544"/>
      <c r="Z14" s="343"/>
      <c r="AA14" s="544" t="s">
        <v>452</v>
      </c>
      <c r="AB14" s="544"/>
      <c r="AC14" s="544"/>
      <c r="AD14" s="343"/>
      <c r="AE14" s="343"/>
    </row>
    <row r="15" spans="1:31" ht="24.95" customHeight="1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343"/>
      <c r="W15" s="343"/>
      <c r="X15" s="343"/>
      <c r="Y15" s="346"/>
      <c r="Z15" s="343"/>
      <c r="AA15" s="343"/>
      <c r="AB15" s="343"/>
      <c r="AC15" s="343"/>
      <c r="AD15" s="343"/>
      <c r="AE15" s="343"/>
    </row>
    <row r="16" spans="1:31" ht="24.95" customHeight="1">
      <c r="A16" s="85"/>
      <c r="B16" s="85"/>
      <c r="C16" s="545" t="str">
        <f>W14</f>
        <v>Vyrai, 0-14 metų (8 atv.)</v>
      </c>
      <c r="D16" s="545"/>
      <c r="E16" s="545"/>
      <c r="F16" s="545"/>
      <c r="G16" s="545"/>
      <c r="H16" s="545"/>
      <c r="I16" s="545"/>
      <c r="J16" s="86"/>
      <c r="K16" s="85"/>
      <c r="L16" s="85"/>
      <c r="M16" s="545" t="str">
        <f>AA14</f>
        <v>Moterys, 0-14 metų (5 atv.)</v>
      </c>
      <c r="N16" s="545"/>
      <c r="O16" s="545"/>
      <c r="P16" s="545"/>
      <c r="Q16" s="545"/>
      <c r="R16" s="545"/>
      <c r="S16" s="545"/>
      <c r="T16" s="85"/>
      <c r="U16" s="85"/>
      <c r="V16" s="343"/>
      <c r="W16" s="343"/>
      <c r="X16" s="343"/>
      <c r="Y16" s="346"/>
      <c r="Z16" s="343"/>
      <c r="AA16" s="318"/>
      <c r="AB16" s="347"/>
      <c r="AC16" s="346"/>
      <c r="AD16" s="343"/>
      <c r="AE16" s="343"/>
    </row>
    <row r="17" spans="1:31" ht="20.100000000000001" customHeight="1">
      <c r="A17" s="85"/>
      <c r="B17" s="85"/>
      <c r="C17" s="85"/>
      <c r="D17" s="85"/>
      <c r="E17" s="85"/>
      <c r="F17" s="85"/>
      <c r="G17" s="85"/>
      <c r="H17" s="85"/>
      <c r="I17" s="87" t="str">
        <f>W25</f>
        <v>Smegenų</v>
      </c>
      <c r="J17" s="87"/>
      <c r="K17" s="85"/>
      <c r="L17" s="85"/>
      <c r="M17" s="85"/>
      <c r="N17" s="85"/>
      <c r="O17" s="85"/>
      <c r="P17" s="85"/>
      <c r="Q17" s="85"/>
      <c r="R17" s="85"/>
      <c r="S17" s="87" t="str">
        <f>AA25</f>
        <v>Smegenų</v>
      </c>
      <c r="T17" s="85"/>
      <c r="U17" s="85"/>
      <c r="V17" s="343"/>
      <c r="W17" s="343"/>
      <c r="X17" s="343"/>
      <c r="Y17" s="346"/>
      <c r="Z17" s="343"/>
      <c r="AA17" s="318"/>
      <c r="AB17" s="347"/>
      <c r="AC17" s="346"/>
      <c r="AD17" s="343"/>
      <c r="AE17" s="343"/>
    </row>
    <row r="18" spans="1:31" ht="20.100000000000001" customHeight="1">
      <c r="A18" s="85"/>
      <c r="B18" s="85"/>
      <c r="C18" s="85"/>
      <c r="D18" s="85"/>
      <c r="E18" s="85"/>
      <c r="F18" s="85"/>
      <c r="G18" s="85"/>
      <c r="H18" s="85"/>
      <c r="I18" s="87" t="str">
        <f>W24</f>
        <v>Leukemijos</v>
      </c>
      <c r="J18" s="87"/>
      <c r="K18" s="85"/>
      <c r="L18" s="85"/>
      <c r="M18" s="85"/>
      <c r="N18" s="85"/>
      <c r="O18" s="85"/>
      <c r="P18" s="85"/>
      <c r="Q18" s="85"/>
      <c r="R18" s="85"/>
      <c r="S18" s="87" t="str">
        <f>AA24</f>
        <v>Leukemijos</v>
      </c>
      <c r="T18" s="85"/>
      <c r="U18" s="85"/>
      <c r="V18" s="343"/>
      <c r="W18" s="343"/>
      <c r="X18" s="343"/>
      <c r="Y18" s="346"/>
      <c r="Z18" s="343"/>
      <c r="AA18" s="318"/>
      <c r="AB18" s="347"/>
      <c r="AC18" s="346"/>
      <c r="AD18" s="343"/>
      <c r="AE18" s="343"/>
    </row>
    <row r="19" spans="1:31" ht="20.100000000000001" customHeight="1">
      <c r="A19" s="85"/>
      <c r="B19" s="85"/>
      <c r="C19" s="85"/>
      <c r="D19" s="85"/>
      <c r="E19" s="85"/>
      <c r="F19" s="85"/>
      <c r="G19" s="85"/>
      <c r="H19" s="85"/>
      <c r="I19" s="87" t="str">
        <f>W23</f>
        <v>Kaulų ir jungiamojo audinio</v>
      </c>
      <c r="J19" s="87"/>
      <c r="K19" s="85"/>
      <c r="L19" s="85"/>
      <c r="M19" s="85"/>
      <c r="N19" s="85"/>
      <c r="O19" s="85"/>
      <c r="P19" s="85"/>
      <c r="Q19" s="85"/>
      <c r="R19" s="85"/>
      <c r="S19" s="87" t="str">
        <f>AA23</f>
        <v>Kiti</v>
      </c>
      <c r="T19" s="85"/>
      <c r="U19" s="85"/>
      <c r="V19" s="343"/>
      <c r="W19" s="343"/>
      <c r="X19" s="343"/>
      <c r="Y19" s="346"/>
      <c r="Z19" s="343"/>
      <c r="AA19" s="318"/>
      <c r="AB19" s="347"/>
      <c r="AC19" s="346"/>
      <c r="AD19" s="343"/>
      <c r="AE19" s="343"/>
    </row>
    <row r="20" spans="1:31" ht="20.100000000000001" customHeight="1">
      <c r="A20" s="85"/>
      <c r="B20" s="85"/>
      <c r="C20" s="85"/>
      <c r="D20" s="85"/>
      <c r="E20" s="85"/>
      <c r="F20" s="85"/>
      <c r="G20" s="85"/>
      <c r="H20" s="85"/>
      <c r="I20" s="87" t="str">
        <f>W22</f>
        <v>Kitų endokrininių liaukų</v>
      </c>
      <c r="J20" s="87"/>
      <c r="K20" s="85"/>
      <c r="L20" s="85"/>
      <c r="M20" s="85"/>
      <c r="N20" s="85"/>
      <c r="O20" s="85"/>
      <c r="P20" s="85"/>
      <c r="Q20" s="85"/>
      <c r="R20" s="85"/>
      <c r="S20" s="87" t="str">
        <f t="shared" ref="S20:S21" si="0">TEXT(AA18,)</f>
        <v/>
      </c>
      <c r="T20" s="85"/>
      <c r="U20" s="85"/>
      <c r="V20" s="343"/>
      <c r="W20" s="343"/>
      <c r="X20" s="343"/>
      <c r="Y20" s="346"/>
      <c r="Z20" s="343"/>
      <c r="AA20" s="318"/>
      <c r="AB20" s="347"/>
      <c r="AC20" s="346"/>
      <c r="AD20" s="343"/>
      <c r="AE20" s="343"/>
    </row>
    <row r="21" spans="1:31" ht="20.100000000000001" customHeight="1">
      <c r="A21" s="85"/>
      <c r="B21" s="85"/>
      <c r="C21" s="85"/>
      <c r="D21" s="85"/>
      <c r="E21" s="85"/>
      <c r="F21" s="85"/>
      <c r="G21" s="85"/>
      <c r="H21" s="85"/>
      <c r="I21" s="87"/>
      <c r="J21" s="87"/>
      <c r="K21" s="85"/>
      <c r="L21" s="85"/>
      <c r="M21" s="85"/>
      <c r="N21" s="85"/>
      <c r="O21" s="85"/>
      <c r="P21" s="85"/>
      <c r="Q21" s="85"/>
      <c r="R21" s="85"/>
      <c r="S21" s="87" t="str">
        <f t="shared" si="0"/>
        <v/>
      </c>
      <c r="T21" s="85"/>
      <c r="U21" s="85"/>
      <c r="V21" s="343"/>
      <c r="W21" s="343" t="s">
        <v>26</v>
      </c>
      <c r="X21" s="343">
        <v>0</v>
      </c>
      <c r="Y21" s="344">
        <f>VALUE(0.001%)</f>
        <v>1.0000000000000001E-5</v>
      </c>
      <c r="Z21" s="343"/>
      <c r="AA21" s="318"/>
      <c r="AB21" s="318"/>
      <c r="AC21" s="346"/>
      <c r="AD21" s="343"/>
      <c r="AE21" s="343"/>
    </row>
    <row r="22" spans="1:31" ht="20.100000000000001" customHeight="1">
      <c r="A22" s="85"/>
      <c r="B22" s="85"/>
      <c r="C22" s="85"/>
      <c r="D22" s="85"/>
      <c r="E22" s="85"/>
      <c r="F22" s="85"/>
      <c r="G22" s="85"/>
      <c r="H22" s="85"/>
      <c r="I22" s="87" t="str">
        <f>TEXT(W20,)</f>
        <v/>
      </c>
      <c r="J22" s="87"/>
      <c r="K22" s="85"/>
      <c r="L22" s="85"/>
      <c r="M22" s="85"/>
      <c r="N22" s="85"/>
      <c r="O22" s="85"/>
      <c r="P22" s="85"/>
      <c r="Q22" s="85"/>
      <c r="R22" s="85"/>
      <c r="S22" s="87" t="str">
        <f>TEXT(AA20,)</f>
        <v/>
      </c>
      <c r="T22" s="85"/>
      <c r="U22" s="85"/>
      <c r="V22" s="343"/>
      <c r="W22" s="343" t="s">
        <v>236</v>
      </c>
      <c r="X22" s="343">
        <v>1</v>
      </c>
      <c r="Y22" s="344">
        <v>0.125</v>
      </c>
      <c r="Z22" s="343"/>
      <c r="AA22" s="318"/>
      <c r="AB22" s="318"/>
      <c r="AC22" s="346"/>
      <c r="AD22" s="343"/>
      <c r="AE22" s="343"/>
    </row>
    <row r="23" spans="1:31" ht="20.100000000000001" customHeight="1">
      <c r="A23" s="85"/>
      <c r="B23" s="85"/>
      <c r="C23" s="85"/>
      <c r="D23" s="85"/>
      <c r="E23" s="85"/>
      <c r="F23" s="85"/>
      <c r="G23" s="85"/>
      <c r="H23" s="85"/>
      <c r="I23" s="87" t="str">
        <f>TEXT(W19,)</f>
        <v/>
      </c>
      <c r="J23" s="87"/>
      <c r="K23" s="85"/>
      <c r="L23" s="85"/>
      <c r="M23" s="85"/>
      <c r="N23" s="85"/>
      <c r="O23" s="85"/>
      <c r="P23" s="85"/>
      <c r="Q23" s="85"/>
      <c r="R23" s="85"/>
      <c r="S23" s="87" t="str">
        <f>TEXT(AA19,)</f>
        <v/>
      </c>
      <c r="T23" s="85"/>
      <c r="U23" s="85"/>
      <c r="V23" s="343"/>
      <c r="W23" s="343" t="s">
        <v>228</v>
      </c>
      <c r="X23" s="343">
        <v>2</v>
      </c>
      <c r="Y23" s="344">
        <v>0.25</v>
      </c>
      <c r="Z23" s="343"/>
      <c r="AA23" s="318" t="s">
        <v>26</v>
      </c>
      <c r="AB23" s="318">
        <v>0</v>
      </c>
      <c r="AC23" s="344">
        <f>VALUE(0.001%)</f>
        <v>1.0000000000000001E-5</v>
      </c>
      <c r="AD23" s="343"/>
      <c r="AE23" s="343"/>
    </row>
    <row r="24" spans="1:31" ht="20.100000000000001" customHeight="1">
      <c r="A24" s="85"/>
      <c r="B24" s="85"/>
      <c r="C24" s="85"/>
      <c r="D24" s="85"/>
      <c r="E24" s="85"/>
      <c r="F24" s="85"/>
      <c r="G24" s="85"/>
      <c r="H24" s="85"/>
      <c r="I24" s="87" t="str">
        <f>TEXT(W18,)</f>
        <v/>
      </c>
      <c r="J24" s="87"/>
      <c r="K24" s="85"/>
      <c r="L24" s="85"/>
      <c r="M24" s="85"/>
      <c r="N24" s="85"/>
      <c r="O24" s="85"/>
      <c r="P24" s="85"/>
      <c r="Q24" s="85"/>
      <c r="R24" s="85"/>
      <c r="S24" s="87" t="str">
        <f>TEXT(AA18,)</f>
        <v/>
      </c>
      <c r="T24" s="85"/>
      <c r="U24" s="85"/>
      <c r="V24" s="343"/>
      <c r="W24" s="343" t="s">
        <v>227</v>
      </c>
      <c r="X24" s="343">
        <v>2</v>
      </c>
      <c r="Y24" s="344">
        <v>0.25</v>
      </c>
      <c r="Z24" s="343"/>
      <c r="AA24" s="318" t="s">
        <v>227</v>
      </c>
      <c r="AB24" s="318">
        <v>1</v>
      </c>
      <c r="AC24" s="344">
        <v>0.2</v>
      </c>
      <c r="AD24" s="343"/>
      <c r="AE24" s="343"/>
    </row>
    <row r="25" spans="1:31" ht="20.100000000000001" customHeight="1">
      <c r="A25" s="85"/>
      <c r="B25" s="85"/>
      <c r="C25" s="85"/>
      <c r="D25" s="85"/>
      <c r="E25" s="85"/>
      <c r="F25" s="85"/>
      <c r="G25" s="85"/>
      <c r="H25" s="85"/>
      <c r="I25" s="87" t="str">
        <f>TEXT(W17,)</f>
        <v/>
      </c>
      <c r="J25" s="87"/>
      <c r="K25" s="85"/>
      <c r="L25" s="85"/>
      <c r="M25" s="85"/>
      <c r="N25" s="85"/>
      <c r="O25" s="85"/>
      <c r="P25" s="85"/>
      <c r="Q25" s="85"/>
      <c r="R25" s="85"/>
      <c r="S25" s="87" t="str">
        <f>TEXT(AA17,)</f>
        <v/>
      </c>
      <c r="T25" s="85"/>
      <c r="U25" s="85"/>
      <c r="V25" s="343"/>
      <c r="W25" s="343" t="s">
        <v>225</v>
      </c>
      <c r="X25" s="343">
        <v>3</v>
      </c>
      <c r="Y25" s="344">
        <v>0.375</v>
      </c>
      <c r="Z25" s="343"/>
      <c r="AA25" s="318" t="s">
        <v>225</v>
      </c>
      <c r="AB25" s="318">
        <v>4</v>
      </c>
      <c r="AC25" s="344">
        <v>0.8</v>
      </c>
      <c r="AD25" s="343"/>
      <c r="AE25" s="343"/>
    </row>
    <row r="26" spans="1:31" ht="20.100000000000001" customHeight="1">
      <c r="A26" s="85"/>
      <c r="B26" s="85"/>
      <c r="C26" s="85"/>
      <c r="D26" s="85"/>
      <c r="E26" s="85"/>
      <c r="F26" s="85"/>
      <c r="G26" s="85"/>
      <c r="H26" s="85"/>
      <c r="I26" s="87" t="str">
        <f>TEXT(W16,)</f>
        <v/>
      </c>
      <c r="J26" s="87"/>
      <c r="K26" s="85"/>
      <c r="L26" s="85"/>
      <c r="M26" s="85"/>
      <c r="N26" s="85"/>
      <c r="O26" s="85"/>
      <c r="P26" s="85"/>
      <c r="Q26" s="85"/>
      <c r="R26" s="85"/>
      <c r="S26" s="87" t="str">
        <f>TEXT(AA16,)</f>
        <v/>
      </c>
      <c r="T26" s="85"/>
      <c r="U26" s="85"/>
      <c r="V26" s="343"/>
      <c r="W26" s="345" t="s">
        <v>210</v>
      </c>
      <c r="X26" s="343">
        <v>8</v>
      </c>
      <c r="Y26" s="344">
        <v>1</v>
      </c>
      <c r="Z26" s="343"/>
      <c r="AA26" s="320" t="s">
        <v>210</v>
      </c>
      <c r="AB26" s="318">
        <v>5</v>
      </c>
      <c r="AC26" s="344">
        <v>1</v>
      </c>
      <c r="AD26" s="343"/>
      <c r="AE26" s="343"/>
    </row>
    <row r="27" spans="1:31" ht="20.100000000000001" customHeight="1">
      <c r="A27" s="85"/>
      <c r="B27" s="85"/>
      <c r="C27" s="85"/>
      <c r="D27" s="85"/>
      <c r="E27" s="85"/>
      <c r="F27" s="85"/>
      <c r="G27" s="85"/>
      <c r="H27" s="85"/>
      <c r="I27" s="87" t="str">
        <f>TEXT(W15,)</f>
        <v/>
      </c>
      <c r="J27" s="87"/>
      <c r="K27" s="85"/>
      <c r="L27" s="85"/>
      <c r="M27" s="85"/>
      <c r="N27" s="85"/>
      <c r="O27" s="85"/>
      <c r="P27" s="85"/>
      <c r="Q27" s="85"/>
      <c r="R27" s="85"/>
      <c r="S27" s="87" t="str">
        <f>TEXT(AA15,)</f>
        <v/>
      </c>
      <c r="T27" s="85"/>
      <c r="U27" s="85"/>
      <c r="V27" s="343"/>
      <c r="W27" s="544" t="s">
        <v>466</v>
      </c>
      <c r="X27" s="544"/>
      <c r="Y27" s="544"/>
      <c r="Z27" s="343"/>
      <c r="AA27" s="544" t="s">
        <v>471</v>
      </c>
      <c r="AB27" s="544"/>
      <c r="AC27" s="544"/>
      <c r="AD27" s="343"/>
      <c r="AE27" s="343"/>
    </row>
    <row r="28" spans="1:31" ht="24.95" customHeight="1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343"/>
      <c r="W28" s="343" t="s">
        <v>26</v>
      </c>
      <c r="X28" s="343">
        <v>0</v>
      </c>
      <c r="Y28" s="344">
        <v>0</v>
      </c>
      <c r="Z28" s="343"/>
      <c r="AA28" s="343" t="s">
        <v>26</v>
      </c>
      <c r="AB28" s="343">
        <v>0</v>
      </c>
      <c r="AC28" s="344">
        <v>0</v>
      </c>
      <c r="AD28" s="343"/>
      <c r="AE28" s="343"/>
    </row>
    <row r="29" spans="1:31" ht="24.95" customHeight="1">
      <c r="A29" s="85"/>
      <c r="B29" s="85"/>
      <c r="C29" s="545" t="str">
        <f>W27</f>
        <v>Vyrai, 15-29 metų (13 atv.)</v>
      </c>
      <c r="D29" s="545"/>
      <c r="E29" s="545"/>
      <c r="F29" s="545"/>
      <c r="G29" s="545"/>
      <c r="H29" s="545"/>
      <c r="I29" s="545"/>
      <c r="J29" s="86"/>
      <c r="K29" s="85"/>
      <c r="L29" s="85"/>
      <c r="M29" s="545" t="str">
        <f>AA27</f>
        <v>Moterys, 15-29 metų (8 atv.)</v>
      </c>
      <c r="N29" s="545"/>
      <c r="O29" s="545"/>
      <c r="P29" s="545"/>
      <c r="Q29" s="545"/>
      <c r="R29" s="545"/>
      <c r="S29" s="545"/>
      <c r="T29" s="85"/>
      <c r="U29" s="85"/>
      <c r="V29" s="343"/>
      <c r="W29" s="343" t="s">
        <v>441</v>
      </c>
      <c r="X29" s="343">
        <v>0</v>
      </c>
      <c r="Y29" s="344">
        <v>0</v>
      </c>
      <c r="Z29" s="343"/>
      <c r="AA29" s="343" t="s">
        <v>441</v>
      </c>
      <c r="AB29" s="343">
        <v>0</v>
      </c>
      <c r="AC29" s="344">
        <v>0</v>
      </c>
      <c r="AD29" s="343"/>
      <c r="AE29" s="343"/>
    </row>
    <row r="30" spans="1:31" ht="20.100000000000001" customHeight="1">
      <c r="A30" s="85"/>
      <c r="B30" s="85"/>
      <c r="C30" s="85"/>
      <c r="D30" s="85"/>
      <c r="E30" s="85"/>
      <c r="F30" s="85"/>
      <c r="G30" s="85"/>
      <c r="H30" s="85"/>
      <c r="I30" s="87" t="str">
        <f>W38</f>
        <v>Smegenų</v>
      </c>
      <c r="J30" s="85"/>
      <c r="K30" s="85"/>
      <c r="L30" s="85"/>
      <c r="M30" s="85"/>
      <c r="N30" s="85"/>
      <c r="O30" s="85"/>
      <c r="P30" s="85"/>
      <c r="Q30" s="85"/>
      <c r="R30" s="85"/>
      <c r="S30" s="87" t="str">
        <f>AA38</f>
        <v>Kaulų ir jungiamojo audinio</v>
      </c>
      <c r="T30" s="85"/>
      <c r="U30" s="85"/>
      <c r="V30" s="343"/>
      <c r="W30" s="343" t="s">
        <v>211</v>
      </c>
      <c r="X30" s="343">
        <v>0</v>
      </c>
      <c r="Y30" s="344">
        <v>0</v>
      </c>
      <c r="Z30" s="343"/>
      <c r="AA30" s="343" t="s">
        <v>211</v>
      </c>
      <c r="AB30" s="343">
        <v>0</v>
      </c>
      <c r="AC30" s="344">
        <v>0</v>
      </c>
      <c r="AD30" s="343"/>
      <c r="AE30" s="343"/>
    </row>
    <row r="31" spans="1:31" ht="20.100000000000001" customHeight="1">
      <c r="A31" s="85"/>
      <c r="B31" s="85"/>
      <c r="C31" s="85"/>
      <c r="D31" s="85"/>
      <c r="E31" s="85"/>
      <c r="F31" s="85"/>
      <c r="G31" s="85"/>
      <c r="H31" s="85"/>
      <c r="I31" s="87" t="str">
        <f>W37</f>
        <v>Sėklidžių</v>
      </c>
      <c r="J31" s="85"/>
      <c r="K31" s="85"/>
      <c r="L31" s="85"/>
      <c r="M31" s="85"/>
      <c r="N31" s="85"/>
      <c r="O31" s="85"/>
      <c r="P31" s="85"/>
      <c r="Q31" s="85"/>
      <c r="R31" s="85"/>
      <c r="S31" s="87" t="str">
        <f>AA37</f>
        <v>Leukemijos</v>
      </c>
      <c r="T31" s="85"/>
      <c r="U31" s="85"/>
      <c r="V31" s="343"/>
      <c r="W31" s="343" t="s">
        <v>422</v>
      </c>
      <c r="X31" s="343">
        <v>0</v>
      </c>
      <c r="Y31" s="344">
        <v>0</v>
      </c>
      <c r="Z31" s="343"/>
      <c r="AA31" s="343" t="s">
        <v>422</v>
      </c>
      <c r="AB31" s="343">
        <v>0</v>
      </c>
      <c r="AC31" s="344">
        <v>0</v>
      </c>
      <c r="AD31" s="343"/>
      <c r="AE31" s="343"/>
    </row>
    <row r="32" spans="1:31" ht="20.100000000000001" customHeight="1">
      <c r="A32" s="85"/>
      <c r="B32" s="85"/>
      <c r="C32" s="85"/>
      <c r="D32" s="85"/>
      <c r="E32" s="85"/>
      <c r="F32" s="85"/>
      <c r="G32" s="85"/>
      <c r="H32" s="85"/>
      <c r="I32" s="87" t="str">
        <f>W36</f>
        <v>Kaulų ir jungiamojo audinio</v>
      </c>
      <c r="J32" s="85"/>
      <c r="K32" s="85"/>
      <c r="L32" s="85"/>
      <c r="M32" s="85"/>
      <c r="N32" s="85"/>
      <c r="O32" s="85"/>
      <c r="P32" s="85"/>
      <c r="Q32" s="85"/>
      <c r="R32" s="85"/>
      <c r="S32" s="87" t="str">
        <f>AA36</f>
        <v>Smegenų</v>
      </c>
      <c r="T32" s="85"/>
      <c r="U32" s="85"/>
      <c r="V32" s="343"/>
      <c r="W32" s="343" t="s">
        <v>215</v>
      </c>
      <c r="X32" s="343">
        <v>0</v>
      </c>
      <c r="Y32" s="344">
        <v>0</v>
      </c>
      <c r="Z32" s="343"/>
      <c r="AA32" s="343" t="s">
        <v>219</v>
      </c>
      <c r="AB32" s="343">
        <v>1</v>
      </c>
      <c r="AC32" s="344">
        <v>0.125</v>
      </c>
      <c r="AD32" s="343"/>
      <c r="AE32" s="343"/>
    </row>
    <row r="33" spans="1:31" ht="20.100000000000001" customHeight="1">
      <c r="A33" s="85"/>
      <c r="B33" s="85"/>
      <c r="C33" s="85"/>
      <c r="D33" s="85"/>
      <c r="E33" s="85"/>
      <c r="F33" s="85"/>
      <c r="G33" s="85"/>
      <c r="H33" s="85"/>
      <c r="I33" s="87" t="str">
        <f>W35</f>
        <v>Inkstų</v>
      </c>
      <c r="J33" s="85"/>
      <c r="K33" s="85"/>
      <c r="L33" s="85"/>
      <c r="M33" s="85"/>
      <c r="N33" s="85"/>
      <c r="O33" s="85"/>
      <c r="P33" s="85"/>
      <c r="Q33" s="85"/>
      <c r="R33" s="85"/>
      <c r="S33" s="87" t="str">
        <f>AA35</f>
        <v>Kiaušidžių</v>
      </c>
      <c r="T33" s="85"/>
      <c r="U33" s="85"/>
      <c r="V33" s="343"/>
      <c r="W33" s="343" t="s">
        <v>214</v>
      </c>
      <c r="X33" s="343">
        <v>1</v>
      </c>
      <c r="Y33" s="344">
        <v>7.6923076923076927E-2</v>
      </c>
      <c r="Z33" s="343"/>
      <c r="AA33" s="343" t="s">
        <v>234</v>
      </c>
      <c r="AB33" s="343">
        <v>1</v>
      </c>
      <c r="AC33" s="344">
        <v>0.125</v>
      </c>
      <c r="AD33" s="343"/>
      <c r="AE33" s="343"/>
    </row>
    <row r="34" spans="1:31" ht="20.100000000000001" customHeight="1">
      <c r="A34" s="85"/>
      <c r="B34" s="85"/>
      <c r="C34" s="85"/>
      <c r="D34" s="85"/>
      <c r="E34" s="85"/>
      <c r="F34" s="85"/>
      <c r="G34" s="85"/>
      <c r="H34" s="85"/>
      <c r="I34" s="87" t="str">
        <f>W34</f>
        <v>Odos melanoma</v>
      </c>
      <c r="J34" s="85"/>
      <c r="K34" s="85"/>
      <c r="L34" s="85"/>
      <c r="M34" s="85"/>
      <c r="N34" s="85"/>
      <c r="O34" s="85"/>
      <c r="P34" s="85"/>
      <c r="Q34" s="85"/>
      <c r="R34" s="85"/>
      <c r="S34" s="87" t="str">
        <f>AA34</f>
        <v>Gimdos kūno</v>
      </c>
      <c r="T34" s="85"/>
      <c r="U34" s="85"/>
      <c r="V34" s="343"/>
      <c r="W34" s="343" t="s">
        <v>229</v>
      </c>
      <c r="X34" s="343">
        <v>1</v>
      </c>
      <c r="Y34" s="344">
        <v>7.6923076923076927E-2</v>
      </c>
      <c r="Z34" s="343"/>
      <c r="AA34" s="343" t="s">
        <v>233</v>
      </c>
      <c r="AB34" s="343">
        <v>1</v>
      </c>
      <c r="AC34" s="344">
        <v>0.125</v>
      </c>
      <c r="AD34" s="343"/>
      <c r="AE34" s="343"/>
    </row>
    <row r="35" spans="1:31" ht="20.100000000000001" customHeight="1">
      <c r="A35" s="85"/>
      <c r="B35" s="85"/>
      <c r="C35" s="85"/>
      <c r="D35" s="85"/>
      <c r="E35" s="85"/>
      <c r="F35" s="85"/>
      <c r="G35" s="85"/>
      <c r="H35" s="85"/>
      <c r="I35" s="87" t="str">
        <f>W33</f>
        <v>Gaubtinės žarnos</v>
      </c>
      <c r="J35" s="85"/>
      <c r="K35" s="85"/>
      <c r="L35" s="85"/>
      <c r="M35" s="85"/>
      <c r="N35" s="85"/>
      <c r="O35" s="85"/>
      <c r="P35" s="85"/>
      <c r="Q35" s="85"/>
      <c r="R35" s="85"/>
      <c r="S35" s="87" t="str">
        <f>AA33</f>
        <v>Krūties</v>
      </c>
      <c r="T35" s="85"/>
      <c r="U35" s="85"/>
      <c r="V35" s="343"/>
      <c r="W35" s="343" t="s">
        <v>213</v>
      </c>
      <c r="X35" s="343">
        <v>1</v>
      </c>
      <c r="Y35" s="344">
        <v>7.6923076923076927E-2</v>
      </c>
      <c r="Z35" s="343"/>
      <c r="AA35" s="343" t="s">
        <v>231</v>
      </c>
      <c r="AB35" s="343">
        <v>1</v>
      </c>
      <c r="AC35" s="344">
        <v>0.125</v>
      </c>
      <c r="AD35" s="343"/>
      <c r="AE35" s="343"/>
    </row>
    <row r="36" spans="1:31" ht="20.100000000000001" customHeight="1">
      <c r="A36" s="85"/>
      <c r="B36" s="85"/>
      <c r="C36" s="85"/>
      <c r="D36" s="85"/>
      <c r="E36" s="85"/>
      <c r="F36" s="85"/>
      <c r="G36" s="85"/>
      <c r="H36" s="85"/>
      <c r="I36" s="87" t="str">
        <f>W32</f>
        <v>Skrandžio</v>
      </c>
      <c r="J36" s="85"/>
      <c r="K36" s="85"/>
      <c r="L36" s="85"/>
      <c r="M36" s="85"/>
      <c r="N36" s="85"/>
      <c r="O36" s="85"/>
      <c r="P36" s="85"/>
      <c r="Q36" s="85"/>
      <c r="R36" s="85"/>
      <c r="S36" s="87" t="str">
        <f>AA32</f>
        <v>Kasos</v>
      </c>
      <c r="T36" s="85"/>
      <c r="U36" s="85"/>
      <c r="V36" s="343"/>
      <c r="W36" s="343" t="s">
        <v>228</v>
      </c>
      <c r="X36" s="343">
        <v>2</v>
      </c>
      <c r="Y36" s="344">
        <v>0.15384615384615385</v>
      </c>
      <c r="Z36" s="343"/>
      <c r="AA36" s="343" t="s">
        <v>225</v>
      </c>
      <c r="AB36" s="343">
        <v>1</v>
      </c>
      <c r="AC36" s="344">
        <v>0.125</v>
      </c>
      <c r="AD36" s="343"/>
      <c r="AE36" s="343"/>
    </row>
    <row r="37" spans="1:31" ht="20.100000000000001" customHeight="1">
      <c r="A37" s="85"/>
      <c r="B37" s="85"/>
      <c r="C37" s="85"/>
      <c r="D37" s="85"/>
      <c r="E37" s="85"/>
      <c r="F37" s="85"/>
      <c r="G37" s="85"/>
      <c r="H37" s="85"/>
      <c r="I37" s="87" t="str">
        <f>W31</f>
        <v>Stemplės</v>
      </c>
      <c r="J37" s="85"/>
      <c r="K37" s="85"/>
      <c r="L37" s="85"/>
      <c r="M37" s="85"/>
      <c r="N37" s="85"/>
      <c r="O37" s="85"/>
      <c r="P37" s="85"/>
      <c r="Q37" s="85"/>
      <c r="R37" s="85"/>
      <c r="S37" s="87" t="str">
        <f>AA31</f>
        <v>Stemplės</v>
      </c>
      <c r="T37" s="85"/>
      <c r="U37" s="85"/>
      <c r="V37" s="343"/>
      <c r="W37" s="343" t="s">
        <v>221</v>
      </c>
      <c r="X37" s="343">
        <v>3</v>
      </c>
      <c r="Y37" s="344">
        <v>0.23076923076923078</v>
      </c>
      <c r="Z37" s="343"/>
      <c r="AA37" s="343" t="s">
        <v>227</v>
      </c>
      <c r="AB37" s="343">
        <v>1</v>
      </c>
      <c r="AC37" s="344">
        <v>0.125</v>
      </c>
      <c r="AD37" s="343"/>
      <c r="AE37" s="343"/>
    </row>
    <row r="38" spans="1:31" ht="20.100000000000001" customHeight="1">
      <c r="A38" s="85"/>
      <c r="B38" s="85"/>
      <c r="C38" s="85"/>
      <c r="D38" s="85"/>
      <c r="E38" s="85"/>
      <c r="F38" s="85"/>
      <c r="G38" s="85"/>
      <c r="H38" s="85"/>
      <c r="I38" s="87" t="str">
        <f>W30</f>
        <v>Burnos ertmės ir ryklės</v>
      </c>
      <c r="J38" s="85"/>
      <c r="K38" s="85"/>
      <c r="L38" s="85"/>
      <c r="M38" s="85"/>
      <c r="N38" s="85"/>
      <c r="O38" s="85"/>
      <c r="P38" s="85"/>
      <c r="Q38" s="85"/>
      <c r="R38" s="85"/>
      <c r="S38" s="87" t="str">
        <f>AA30</f>
        <v>Burnos ertmės ir ryklės</v>
      </c>
      <c r="T38" s="85"/>
      <c r="U38" s="85"/>
      <c r="V38" s="343"/>
      <c r="W38" s="343" t="s">
        <v>225</v>
      </c>
      <c r="X38" s="343">
        <v>5</v>
      </c>
      <c r="Y38" s="344">
        <v>0.38461538461538464</v>
      </c>
      <c r="Z38" s="343"/>
      <c r="AA38" s="343" t="s">
        <v>228</v>
      </c>
      <c r="AB38" s="343">
        <v>2</v>
      </c>
      <c r="AC38" s="344">
        <v>0.25</v>
      </c>
      <c r="AD38" s="343"/>
      <c r="AE38" s="343"/>
    </row>
    <row r="39" spans="1:31" ht="20.100000000000001" customHeight="1">
      <c r="A39" s="85"/>
      <c r="B39" s="85"/>
      <c r="C39" s="85"/>
      <c r="D39" s="85"/>
      <c r="E39" s="85"/>
      <c r="F39" s="85"/>
      <c r="G39" s="85"/>
      <c r="H39" s="85"/>
      <c r="I39" s="87" t="str">
        <f>W29</f>
        <v>Lūpos</v>
      </c>
      <c r="J39" s="85"/>
      <c r="K39" s="85"/>
      <c r="L39" s="85"/>
      <c r="M39" s="85"/>
      <c r="N39" s="85"/>
      <c r="O39" s="85"/>
      <c r="P39" s="85"/>
      <c r="Q39" s="85"/>
      <c r="R39" s="85"/>
      <c r="S39" s="87" t="str">
        <f>AA29</f>
        <v>Lūpos</v>
      </c>
      <c r="T39" s="85"/>
      <c r="U39" s="85"/>
      <c r="V39" s="343"/>
      <c r="W39" s="345" t="s">
        <v>210</v>
      </c>
      <c r="X39" s="343">
        <v>13</v>
      </c>
      <c r="Y39" s="344">
        <v>1</v>
      </c>
      <c r="Z39" s="343"/>
      <c r="AA39" s="345" t="s">
        <v>210</v>
      </c>
      <c r="AB39" s="343">
        <v>8</v>
      </c>
      <c r="AC39" s="344">
        <v>1</v>
      </c>
      <c r="AD39" s="343"/>
      <c r="AE39" s="343"/>
    </row>
    <row r="40" spans="1:31" ht="20.100000000000001" customHeight="1">
      <c r="A40" s="85"/>
      <c r="B40" s="85"/>
      <c r="C40" s="85"/>
      <c r="D40" s="85"/>
      <c r="E40" s="85"/>
      <c r="F40" s="85"/>
      <c r="G40" s="85"/>
      <c r="H40" s="85"/>
      <c r="I40" s="87" t="str">
        <f>W28</f>
        <v>Kiti</v>
      </c>
      <c r="J40" s="85"/>
      <c r="K40" s="85"/>
      <c r="L40" s="85"/>
      <c r="M40" s="85"/>
      <c r="N40" s="85"/>
      <c r="O40" s="85"/>
      <c r="P40" s="85"/>
      <c r="Q40" s="85"/>
      <c r="R40" s="85"/>
      <c r="S40" s="87" t="str">
        <f>TEXT(AA28,)</f>
        <v>Kiti</v>
      </c>
      <c r="T40" s="85"/>
      <c r="U40" s="85"/>
      <c r="V40" s="343"/>
      <c r="W40" s="544" t="s">
        <v>467</v>
      </c>
      <c r="X40" s="544"/>
      <c r="Y40" s="544"/>
      <c r="Z40" s="343"/>
      <c r="AA40" s="544" t="s">
        <v>472</v>
      </c>
      <c r="AB40" s="544"/>
      <c r="AC40" s="544"/>
      <c r="AD40" s="343"/>
      <c r="AE40" s="343"/>
    </row>
    <row r="41" spans="1:31" ht="24.95" customHeight="1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343"/>
      <c r="W41" s="343" t="s">
        <v>26</v>
      </c>
      <c r="X41" s="343">
        <v>109</v>
      </c>
      <c r="Y41" s="344">
        <v>0.2219959266802444</v>
      </c>
      <c r="Z41" s="343"/>
      <c r="AA41" s="343" t="s">
        <v>26</v>
      </c>
      <c r="AB41" s="343">
        <v>87</v>
      </c>
      <c r="AC41" s="344">
        <v>0.20046082949308755</v>
      </c>
      <c r="AD41" s="343"/>
      <c r="AE41" s="343"/>
    </row>
    <row r="42" spans="1:31" ht="24.95" customHeight="1">
      <c r="A42" s="85"/>
      <c r="B42" s="85"/>
      <c r="C42" s="545" t="str">
        <f>W40</f>
        <v>Vyrai, 30-54 metų (491 atv.)</v>
      </c>
      <c r="D42" s="545"/>
      <c r="E42" s="545"/>
      <c r="F42" s="545"/>
      <c r="G42" s="545"/>
      <c r="H42" s="545"/>
      <c r="I42" s="545"/>
      <c r="J42" s="90"/>
      <c r="K42" s="85"/>
      <c r="L42" s="85"/>
      <c r="M42" s="545" t="str">
        <f>AA40</f>
        <v>Moterys, 30-54 metų (434 atv.)</v>
      </c>
      <c r="N42" s="545"/>
      <c r="O42" s="545"/>
      <c r="P42" s="545"/>
      <c r="Q42" s="545"/>
      <c r="R42" s="545"/>
      <c r="S42" s="545"/>
      <c r="T42" s="85"/>
      <c r="U42" s="85"/>
      <c r="V42" s="343"/>
      <c r="W42" s="343" t="s">
        <v>212</v>
      </c>
      <c r="X42" s="343">
        <v>20</v>
      </c>
      <c r="Y42" s="344">
        <v>4.0733197556008148E-2</v>
      </c>
      <c r="Z42" s="343"/>
      <c r="AA42" s="343" t="s">
        <v>214</v>
      </c>
      <c r="AB42" s="343">
        <v>14</v>
      </c>
      <c r="AC42" s="344">
        <v>3.2258064516129031E-2</v>
      </c>
      <c r="AD42" s="343"/>
      <c r="AE42" s="343"/>
    </row>
    <row r="43" spans="1:31" ht="20.100000000000001" customHeight="1">
      <c r="A43" s="85"/>
      <c r="B43" s="85"/>
      <c r="C43" s="85"/>
      <c r="D43" s="85"/>
      <c r="E43" s="85"/>
      <c r="F43" s="85"/>
      <c r="G43" s="85"/>
      <c r="H43" s="85"/>
      <c r="I43" s="87" t="str">
        <f>W51</f>
        <v>Plaučių, trachėjos, bronchų</v>
      </c>
      <c r="J43" s="85"/>
      <c r="K43" s="85"/>
      <c r="L43" s="85"/>
      <c r="M43" s="85"/>
      <c r="N43" s="85"/>
      <c r="O43" s="85"/>
      <c r="P43" s="85"/>
      <c r="Q43" s="85"/>
      <c r="R43" s="85"/>
      <c r="S43" s="87" t="str">
        <f>AA51</f>
        <v>Krūties</v>
      </c>
      <c r="T43" s="85"/>
      <c r="U43" s="85"/>
      <c r="V43" s="343"/>
      <c r="W43" s="343" t="s">
        <v>443</v>
      </c>
      <c r="X43" s="343">
        <v>20</v>
      </c>
      <c r="Y43" s="344">
        <v>4.0733197556008148E-2</v>
      </c>
      <c r="Z43" s="343"/>
      <c r="AA43" s="343" t="s">
        <v>219</v>
      </c>
      <c r="AB43" s="343">
        <v>14</v>
      </c>
      <c r="AC43" s="344">
        <v>3.2258064516129031E-2</v>
      </c>
      <c r="AD43" s="343"/>
      <c r="AE43" s="343"/>
    </row>
    <row r="44" spans="1:31" ht="20.100000000000001" customHeight="1">
      <c r="A44" s="85"/>
      <c r="B44" s="85"/>
      <c r="C44" s="85"/>
      <c r="D44" s="85"/>
      <c r="E44" s="85"/>
      <c r="F44" s="85"/>
      <c r="G44" s="85"/>
      <c r="H44" s="85"/>
      <c r="I44" s="87" t="str">
        <f>W50</f>
        <v>Burnos ertmės ir ryklės</v>
      </c>
      <c r="J44" s="85"/>
      <c r="K44" s="85"/>
      <c r="L44" s="85"/>
      <c r="M44" s="85"/>
      <c r="N44" s="85"/>
      <c r="O44" s="85"/>
      <c r="P44" s="85"/>
      <c r="Q44" s="85"/>
      <c r="R44" s="85"/>
      <c r="S44" s="87" t="str">
        <f>AA50</f>
        <v>Gimdos kaklelio</v>
      </c>
      <c r="T44" s="85"/>
      <c r="U44" s="85"/>
      <c r="V44" s="343"/>
      <c r="W44" s="343" t="s">
        <v>230</v>
      </c>
      <c r="X44" s="343">
        <v>20</v>
      </c>
      <c r="Y44" s="344">
        <v>4.0733197556008148E-2</v>
      </c>
      <c r="Z44" s="343"/>
      <c r="AA44" s="343" t="s">
        <v>211</v>
      </c>
      <c r="AB44" s="343">
        <v>15</v>
      </c>
      <c r="AC44" s="344">
        <v>3.4562211981566823E-2</v>
      </c>
      <c r="AD44" s="343"/>
      <c r="AE44" s="343"/>
    </row>
    <row r="45" spans="1:31" ht="20.100000000000001" customHeight="1">
      <c r="A45" s="85"/>
      <c r="B45" s="85"/>
      <c r="C45" s="85"/>
      <c r="D45" s="85"/>
      <c r="E45" s="85"/>
      <c r="F45" s="85"/>
      <c r="G45" s="85"/>
      <c r="H45" s="85"/>
      <c r="I45" s="87" t="str">
        <f>W49</f>
        <v>Skrandžio</v>
      </c>
      <c r="J45" s="85"/>
      <c r="K45" s="85"/>
      <c r="L45" s="85"/>
      <c r="M45" s="85"/>
      <c r="N45" s="85"/>
      <c r="O45" s="85"/>
      <c r="P45" s="85"/>
      <c r="Q45" s="85"/>
      <c r="R45" s="85"/>
      <c r="S45" s="87" t="str">
        <f>AA49</f>
        <v>Kiaušidžių</v>
      </c>
      <c r="T45" s="85"/>
      <c r="U45" s="85"/>
      <c r="V45" s="343"/>
      <c r="W45" s="343" t="s">
        <v>213</v>
      </c>
      <c r="X45" s="343">
        <v>22</v>
      </c>
      <c r="Y45" s="344">
        <v>4.4806517311608958E-2</v>
      </c>
      <c r="Z45" s="343"/>
      <c r="AA45" s="343" t="s">
        <v>212</v>
      </c>
      <c r="AB45" s="343">
        <v>15</v>
      </c>
      <c r="AC45" s="344">
        <v>3.4562211981566823E-2</v>
      </c>
      <c r="AD45" s="343"/>
      <c r="AE45" s="343"/>
    </row>
    <row r="46" spans="1:31" ht="20.100000000000001" customHeight="1">
      <c r="A46" s="85"/>
      <c r="B46" s="85"/>
      <c r="C46" s="85"/>
      <c r="D46" s="85"/>
      <c r="E46" s="85"/>
      <c r="F46" s="85"/>
      <c r="G46" s="85"/>
      <c r="H46" s="85"/>
      <c r="I46" s="87" t="str">
        <f>W48</f>
        <v>Smegenų</v>
      </c>
      <c r="J46" s="85"/>
      <c r="K46" s="85"/>
      <c r="L46" s="85"/>
      <c r="M46" s="85"/>
      <c r="N46" s="85"/>
      <c r="O46" s="85"/>
      <c r="P46" s="85"/>
      <c r="Q46" s="85"/>
      <c r="R46" s="85"/>
      <c r="S46" s="87" t="str">
        <f>AA48</f>
        <v>Skrandžio</v>
      </c>
      <c r="T46" s="85"/>
      <c r="U46" s="85"/>
      <c r="V46" s="343"/>
      <c r="W46" s="343" t="s">
        <v>422</v>
      </c>
      <c r="X46" s="343">
        <v>25</v>
      </c>
      <c r="Y46" s="344">
        <v>5.0916496945010187E-2</v>
      </c>
      <c r="Z46" s="343"/>
      <c r="AA46" s="343" t="s">
        <v>225</v>
      </c>
      <c r="AB46" s="343">
        <v>18</v>
      </c>
      <c r="AC46" s="344">
        <v>4.1474654377880185E-2</v>
      </c>
      <c r="AD46" s="343"/>
      <c r="AE46" s="343"/>
    </row>
    <row r="47" spans="1:31" ht="20.100000000000001" customHeight="1">
      <c r="A47" s="85"/>
      <c r="B47" s="85"/>
      <c r="C47" s="85"/>
      <c r="D47" s="85"/>
      <c r="E47" s="85"/>
      <c r="F47" s="85"/>
      <c r="G47" s="85"/>
      <c r="H47" s="85"/>
      <c r="I47" s="87" t="str">
        <f>W47</f>
        <v>Kasos</v>
      </c>
      <c r="J47" s="85"/>
      <c r="K47" s="85"/>
      <c r="L47" s="85"/>
      <c r="M47" s="85"/>
      <c r="N47" s="85"/>
      <c r="O47" s="85"/>
      <c r="P47" s="85"/>
      <c r="Q47" s="85"/>
      <c r="R47" s="85"/>
      <c r="S47" s="87" t="str">
        <f>AA47</f>
        <v>Plaučių, trachėjos, bronchų</v>
      </c>
      <c r="T47" s="85"/>
      <c r="U47" s="85"/>
      <c r="V47" s="343"/>
      <c r="W47" s="343" t="s">
        <v>219</v>
      </c>
      <c r="X47" s="343">
        <v>29</v>
      </c>
      <c r="Y47" s="344">
        <v>5.9063136456211814E-2</v>
      </c>
      <c r="Z47" s="343"/>
      <c r="AA47" s="343" t="s">
        <v>217</v>
      </c>
      <c r="AB47" s="343">
        <v>20</v>
      </c>
      <c r="AC47" s="344">
        <v>4.6082949308755762E-2</v>
      </c>
      <c r="AD47" s="343"/>
      <c r="AE47" s="343"/>
    </row>
    <row r="48" spans="1:31" ht="20.100000000000001" customHeight="1">
      <c r="A48" s="85"/>
      <c r="B48" s="85"/>
      <c r="C48" s="85"/>
      <c r="D48" s="85"/>
      <c r="E48" s="85"/>
      <c r="F48" s="85"/>
      <c r="G48" s="85"/>
      <c r="H48" s="85"/>
      <c r="I48" s="87" t="str">
        <f>W46</f>
        <v>Stemplės</v>
      </c>
      <c r="J48" s="85"/>
      <c r="K48" s="85"/>
      <c r="L48" s="85"/>
      <c r="M48" s="85"/>
      <c r="N48" s="85"/>
      <c r="O48" s="85"/>
      <c r="P48" s="85"/>
      <c r="Q48" s="85"/>
      <c r="R48" s="85"/>
      <c r="S48" s="87" t="str">
        <f>AA46</f>
        <v>Smegenų</v>
      </c>
      <c r="T48" s="85"/>
      <c r="U48" s="85"/>
      <c r="V48" s="343"/>
      <c r="W48" s="343" t="s">
        <v>225</v>
      </c>
      <c r="X48" s="343">
        <v>29</v>
      </c>
      <c r="Y48" s="344">
        <v>5.9063136456211814E-2</v>
      </c>
      <c r="Z48" s="343"/>
      <c r="AA48" s="343" t="s">
        <v>215</v>
      </c>
      <c r="AB48" s="343">
        <v>36</v>
      </c>
      <c r="AC48" s="344">
        <v>8.294930875576037E-2</v>
      </c>
      <c r="AD48" s="343"/>
      <c r="AE48" s="343"/>
    </row>
    <row r="49" spans="1:31" ht="20.100000000000001" customHeight="1">
      <c r="A49" s="85"/>
      <c r="B49" s="85"/>
      <c r="C49" s="85"/>
      <c r="D49" s="85"/>
      <c r="E49" s="85"/>
      <c r="F49" s="85"/>
      <c r="G49" s="85"/>
      <c r="H49" s="85"/>
      <c r="I49" s="87" t="str">
        <f>W45</f>
        <v>Inkstų</v>
      </c>
      <c r="J49" s="85"/>
      <c r="K49" s="85"/>
      <c r="L49" s="85"/>
      <c r="M49" s="85"/>
      <c r="N49" s="85"/>
      <c r="O49" s="85"/>
      <c r="P49" s="85"/>
      <c r="Q49" s="85"/>
      <c r="R49" s="85"/>
      <c r="S49" s="87" t="str">
        <f>AA45</f>
        <v>Tiesiosios žarnos, išangės</v>
      </c>
      <c r="T49" s="85"/>
      <c r="U49" s="85"/>
      <c r="V49" s="343"/>
      <c r="W49" s="343" t="s">
        <v>215</v>
      </c>
      <c r="X49" s="343">
        <v>51</v>
      </c>
      <c r="Y49" s="344">
        <v>0.10386965376782077</v>
      </c>
      <c r="Z49" s="343"/>
      <c r="AA49" s="343" t="s">
        <v>231</v>
      </c>
      <c r="AB49" s="343">
        <v>49</v>
      </c>
      <c r="AC49" s="344">
        <v>0.11290322580645161</v>
      </c>
      <c r="AD49" s="343"/>
      <c r="AE49" s="343"/>
    </row>
    <row r="50" spans="1:31" ht="20.100000000000001" customHeight="1">
      <c r="A50" s="85"/>
      <c r="B50" s="85"/>
      <c r="C50" s="85"/>
      <c r="D50" s="85"/>
      <c r="E50" s="85"/>
      <c r="F50" s="85"/>
      <c r="G50" s="85"/>
      <c r="H50" s="85"/>
      <c r="I50" s="87" t="str">
        <f>W44</f>
        <v>Gerklų</v>
      </c>
      <c r="J50" s="85"/>
      <c r="K50" s="85"/>
      <c r="L50" s="85"/>
      <c r="M50" s="85"/>
      <c r="N50" s="85"/>
      <c r="O50" s="85"/>
      <c r="P50" s="85"/>
      <c r="Q50" s="85"/>
      <c r="R50" s="85"/>
      <c r="S50" s="87" t="str">
        <f>AA44</f>
        <v>Burnos ertmės ir ryklės</v>
      </c>
      <c r="T50" s="85"/>
      <c r="U50" s="85"/>
      <c r="V50" s="343"/>
      <c r="W50" s="343" t="s">
        <v>211</v>
      </c>
      <c r="X50" s="343">
        <v>67</v>
      </c>
      <c r="Y50" s="344">
        <v>0.13645621181262729</v>
      </c>
      <c r="Z50" s="343"/>
      <c r="AA50" s="343" t="s">
        <v>232</v>
      </c>
      <c r="AB50" s="343">
        <v>66</v>
      </c>
      <c r="AC50" s="344">
        <v>0.15207373271889402</v>
      </c>
      <c r="AD50" s="343"/>
      <c r="AE50" s="343"/>
    </row>
    <row r="51" spans="1:31" ht="20.100000000000001" customHeight="1">
      <c r="A51" s="85"/>
      <c r="B51" s="85"/>
      <c r="C51" s="85"/>
      <c r="D51" s="85"/>
      <c r="E51" s="85"/>
      <c r="F51" s="85"/>
      <c r="G51" s="85"/>
      <c r="H51" s="85"/>
      <c r="I51" s="87" t="str">
        <f>W43</f>
        <v>Kepenų</v>
      </c>
      <c r="J51" s="85"/>
      <c r="K51" s="85"/>
      <c r="L51" s="85"/>
      <c r="M51" s="85"/>
      <c r="N51" s="85"/>
      <c r="O51" s="85"/>
      <c r="P51" s="85"/>
      <c r="Q51" s="85"/>
      <c r="R51" s="85"/>
      <c r="S51" s="87" t="str">
        <f>AA43</f>
        <v>Kasos</v>
      </c>
      <c r="T51" s="85"/>
      <c r="U51" s="85"/>
      <c r="V51" s="343"/>
      <c r="W51" s="343" t="s">
        <v>217</v>
      </c>
      <c r="X51" s="343">
        <v>99</v>
      </c>
      <c r="Y51" s="344">
        <v>0.20162932790224034</v>
      </c>
      <c r="Z51" s="343"/>
      <c r="AA51" s="343" t="s">
        <v>234</v>
      </c>
      <c r="AB51" s="343">
        <v>100</v>
      </c>
      <c r="AC51" s="344">
        <v>0.2304147465437788</v>
      </c>
      <c r="AD51" s="343"/>
      <c r="AE51" s="343"/>
    </row>
    <row r="52" spans="1:31" ht="20.100000000000001" customHeight="1">
      <c r="A52" s="85"/>
      <c r="B52" s="85"/>
      <c r="C52" s="85"/>
      <c r="D52" s="85"/>
      <c r="E52" s="85"/>
      <c r="F52" s="85"/>
      <c r="G52" s="85"/>
      <c r="H52" s="85"/>
      <c r="I52" s="87" t="str">
        <f>W42</f>
        <v>Tiesiosios žarnos, išangės</v>
      </c>
      <c r="J52" s="85"/>
      <c r="K52" s="85"/>
      <c r="L52" s="85"/>
      <c r="M52" s="85"/>
      <c r="N52" s="85"/>
      <c r="O52" s="85"/>
      <c r="P52" s="85"/>
      <c r="Q52" s="85"/>
      <c r="R52" s="85"/>
      <c r="S52" s="87" t="str">
        <f>AA42</f>
        <v>Gaubtinės žarnos</v>
      </c>
      <c r="T52" s="85"/>
      <c r="U52" s="85"/>
      <c r="V52" s="343"/>
      <c r="W52" s="345" t="s">
        <v>210</v>
      </c>
      <c r="X52" s="343">
        <v>491</v>
      </c>
      <c r="Y52" s="344">
        <v>1</v>
      </c>
      <c r="Z52" s="343"/>
      <c r="AA52" s="345" t="s">
        <v>210</v>
      </c>
      <c r="AB52" s="343">
        <v>434</v>
      </c>
      <c r="AC52" s="344">
        <v>1</v>
      </c>
      <c r="AD52" s="343"/>
      <c r="AE52" s="343"/>
    </row>
    <row r="53" spans="1:31" ht="20.100000000000001" customHeight="1">
      <c r="A53" s="85"/>
      <c r="B53" s="85"/>
      <c r="C53" s="85"/>
      <c r="D53" s="85"/>
      <c r="E53" s="85"/>
      <c r="F53" s="85"/>
      <c r="G53" s="85"/>
      <c r="H53" s="85"/>
      <c r="I53" s="87" t="str">
        <f>W41</f>
        <v>Kiti</v>
      </c>
      <c r="J53" s="85"/>
      <c r="K53" s="85"/>
      <c r="L53" s="85"/>
      <c r="M53" s="85"/>
      <c r="N53" s="85"/>
      <c r="O53" s="85"/>
      <c r="P53" s="85"/>
      <c r="Q53" s="85"/>
      <c r="R53" s="85"/>
      <c r="S53" s="87" t="str">
        <f>AA41</f>
        <v>Kiti</v>
      </c>
      <c r="T53" s="85"/>
      <c r="U53" s="85"/>
      <c r="V53" s="343"/>
      <c r="W53" s="544" t="s">
        <v>468</v>
      </c>
      <c r="X53" s="544"/>
      <c r="Y53" s="544"/>
      <c r="Z53" s="343"/>
      <c r="AA53" s="544" t="s">
        <v>473</v>
      </c>
      <c r="AB53" s="544"/>
      <c r="AC53" s="544"/>
      <c r="AD53" s="343"/>
      <c r="AE53" s="343"/>
    </row>
    <row r="54" spans="1:31" ht="24.95" customHeight="1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343"/>
      <c r="W54" s="343" t="s">
        <v>26</v>
      </c>
      <c r="X54" s="343">
        <v>502</v>
      </c>
      <c r="Y54" s="344">
        <v>0.208298755186722</v>
      </c>
      <c r="Z54" s="343"/>
      <c r="AA54" s="343" t="s">
        <v>26</v>
      </c>
      <c r="AB54" s="343">
        <v>417</v>
      </c>
      <c r="AC54" s="344">
        <v>0.27855711422845691</v>
      </c>
      <c r="AD54" s="343"/>
      <c r="AE54" s="343"/>
    </row>
    <row r="55" spans="1:31" ht="24.95" customHeight="1">
      <c r="A55" s="85"/>
      <c r="B55" s="85"/>
      <c r="C55" s="545" t="str">
        <f>W53</f>
        <v>Vyrai, 55-74 metų (2410 atv.)</v>
      </c>
      <c r="D55" s="545"/>
      <c r="E55" s="545"/>
      <c r="F55" s="545"/>
      <c r="G55" s="545"/>
      <c r="H55" s="545"/>
      <c r="I55" s="545"/>
      <c r="J55" s="85"/>
      <c r="K55" s="85"/>
      <c r="L55" s="85"/>
      <c r="M55" s="545" t="str">
        <f>AA53</f>
        <v>Moterys, 55-74 metų (1497 atv.)</v>
      </c>
      <c r="N55" s="545"/>
      <c r="O55" s="545"/>
      <c r="P55" s="545"/>
      <c r="Q55" s="545"/>
      <c r="R55" s="545"/>
      <c r="S55" s="545"/>
      <c r="T55" s="85"/>
      <c r="U55" s="85"/>
      <c r="V55" s="343"/>
      <c r="W55" s="343" t="s">
        <v>213</v>
      </c>
      <c r="X55" s="343">
        <v>96</v>
      </c>
      <c r="Y55" s="344">
        <v>3.9834024896265557E-2</v>
      </c>
      <c r="Z55" s="343"/>
      <c r="AA55" s="343" t="s">
        <v>225</v>
      </c>
      <c r="AB55" s="343">
        <v>64</v>
      </c>
      <c r="AC55" s="344">
        <v>4.2752171008684038E-2</v>
      </c>
      <c r="AD55" s="343"/>
      <c r="AE55" s="343"/>
    </row>
    <row r="56" spans="1:31" ht="20.100000000000001" customHeight="1">
      <c r="A56" s="85"/>
      <c r="B56" s="85"/>
      <c r="C56" s="85"/>
      <c r="D56" s="85"/>
      <c r="E56" s="85"/>
      <c r="F56" s="85"/>
      <c r="G56" s="85"/>
      <c r="H56" s="85"/>
      <c r="I56" s="87" t="str">
        <f>W64</f>
        <v>Plaučių, trachėjos, bronchų</v>
      </c>
      <c r="J56" s="85"/>
      <c r="K56" s="85"/>
      <c r="L56" s="85"/>
      <c r="M56" s="85"/>
      <c r="N56" s="85"/>
      <c r="O56" s="85"/>
      <c r="P56" s="85"/>
      <c r="Q56" s="85"/>
      <c r="R56" s="85"/>
      <c r="S56" s="87" t="str">
        <f>AA64</f>
        <v>Krūties</v>
      </c>
      <c r="T56" s="85"/>
      <c r="U56" s="85"/>
      <c r="V56" s="343"/>
      <c r="W56" s="343" t="s">
        <v>214</v>
      </c>
      <c r="X56" s="343">
        <v>112</v>
      </c>
      <c r="Y56" s="344">
        <v>4.6473029045643155E-2</v>
      </c>
      <c r="Z56" s="343"/>
      <c r="AA56" s="343" t="s">
        <v>212</v>
      </c>
      <c r="AB56" s="343">
        <v>73</v>
      </c>
      <c r="AC56" s="344">
        <v>4.876419505678023E-2</v>
      </c>
      <c r="AD56" s="343"/>
      <c r="AE56" s="343"/>
    </row>
    <row r="57" spans="1:31" ht="20.100000000000001" customHeight="1">
      <c r="A57" s="85"/>
      <c r="B57" s="85"/>
      <c r="C57" s="85"/>
      <c r="D57" s="85"/>
      <c r="E57" s="85"/>
      <c r="F57" s="85"/>
      <c r="G57" s="85"/>
      <c r="H57" s="85"/>
      <c r="I57" s="87" t="str">
        <f>W63</f>
        <v>Priešinės liaukos</v>
      </c>
      <c r="J57" s="85"/>
      <c r="K57" s="85"/>
      <c r="L57" s="85"/>
      <c r="M57" s="85"/>
      <c r="N57" s="85"/>
      <c r="O57" s="85"/>
      <c r="P57" s="85"/>
      <c r="Q57" s="85"/>
      <c r="R57" s="85"/>
      <c r="S57" s="87" t="str">
        <f>AA63</f>
        <v>Kiaušidžių</v>
      </c>
      <c r="T57" s="85"/>
      <c r="U57" s="85"/>
      <c r="V57" s="343"/>
      <c r="W57" s="343" t="s">
        <v>422</v>
      </c>
      <c r="X57" s="343">
        <v>113</v>
      </c>
      <c r="Y57" s="344">
        <v>4.6887966804979253E-2</v>
      </c>
      <c r="Z57" s="343"/>
      <c r="AA57" s="343" t="s">
        <v>233</v>
      </c>
      <c r="AB57" s="343">
        <v>75</v>
      </c>
      <c r="AC57" s="344">
        <v>5.0100200400801605E-2</v>
      </c>
      <c r="AD57" s="343"/>
      <c r="AE57" s="343"/>
    </row>
    <row r="58" spans="1:31" ht="20.100000000000001" customHeight="1">
      <c r="A58" s="85"/>
      <c r="B58" s="85"/>
      <c r="C58" s="85"/>
      <c r="D58" s="85"/>
      <c r="E58" s="85"/>
      <c r="F58" s="85"/>
      <c r="G58" s="85"/>
      <c r="H58" s="85"/>
      <c r="I58" s="87" t="str">
        <f>W62</f>
        <v>Skrandžio</v>
      </c>
      <c r="J58" s="85"/>
      <c r="K58" s="85"/>
      <c r="L58" s="85"/>
      <c r="M58" s="85"/>
      <c r="N58" s="85"/>
      <c r="O58" s="85"/>
      <c r="P58" s="85"/>
      <c r="Q58" s="85"/>
      <c r="R58" s="85"/>
      <c r="S58" s="87" t="str">
        <f>AA62</f>
        <v>Plaučių, trachėjos, bronchų</v>
      </c>
      <c r="T58" s="85"/>
      <c r="U58" s="85"/>
      <c r="V58" s="343"/>
      <c r="W58" s="343" t="s">
        <v>212</v>
      </c>
      <c r="X58" s="343">
        <v>118</v>
      </c>
      <c r="Y58" s="344">
        <v>4.8962655601659751E-2</v>
      </c>
      <c r="Z58" s="343"/>
      <c r="AA58" s="343" t="s">
        <v>232</v>
      </c>
      <c r="AB58" s="343">
        <v>86</v>
      </c>
      <c r="AC58" s="344">
        <v>5.7448229792919171E-2</v>
      </c>
      <c r="AD58" s="343"/>
      <c r="AE58" s="343"/>
    </row>
    <row r="59" spans="1:31" ht="20.100000000000001" customHeight="1">
      <c r="A59" s="85"/>
      <c r="B59" s="85"/>
      <c r="C59" s="85"/>
      <c r="D59" s="85"/>
      <c r="E59" s="85"/>
      <c r="F59" s="85"/>
      <c r="G59" s="85"/>
      <c r="H59" s="85"/>
      <c r="I59" s="87" t="str">
        <f>W61</f>
        <v>Burnos ertmės ir ryklės</v>
      </c>
      <c r="J59" s="85"/>
      <c r="K59" s="85"/>
      <c r="L59" s="85"/>
      <c r="M59" s="85"/>
      <c r="N59" s="85"/>
      <c r="O59" s="85"/>
      <c r="P59" s="85"/>
      <c r="Q59" s="85"/>
      <c r="R59" s="85"/>
      <c r="S59" s="87" t="str">
        <f>AA61</f>
        <v>Gaubtinės žarnos</v>
      </c>
      <c r="T59" s="85"/>
      <c r="U59" s="85"/>
      <c r="V59" s="343"/>
      <c r="W59" s="343" t="s">
        <v>219</v>
      </c>
      <c r="X59" s="343">
        <v>127</v>
      </c>
      <c r="Y59" s="344">
        <v>5.2697095435684647E-2</v>
      </c>
      <c r="Z59" s="343"/>
      <c r="AA59" s="343" t="s">
        <v>219</v>
      </c>
      <c r="AB59" s="343">
        <v>92</v>
      </c>
      <c r="AC59" s="344">
        <v>6.1456245824983297E-2</v>
      </c>
      <c r="AD59" s="343"/>
      <c r="AE59" s="343"/>
    </row>
    <row r="60" spans="1:31" ht="20.100000000000001" customHeight="1">
      <c r="A60" s="85"/>
      <c r="B60" s="85"/>
      <c r="C60" s="85"/>
      <c r="D60" s="85"/>
      <c r="E60" s="85"/>
      <c r="F60" s="85"/>
      <c r="G60" s="85"/>
      <c r="H60" s="85"/>
      <c r="I60" s="87" t="str">
        <f>W60</f>
        <v>Nepatikslintos lokalizacijos</v>
      </c>
      <c r="J60" s="85"/>
      <c r="K60" s="85"/>
      <c r="L60" s="85"/>
      <c r="M60" s="85"/>
      <c r="N60" s="85"/>
      <c r="O60" s="85"/>
      <c r="P60" s="85"/>
      <c r="Q60" s="85"/>
      <c r="R60" s="85"/>
      <c r="S60" s="87" t="str">
        <f>AA60</f>
        <v>Skrandžio</v>
      </c>
      <c r="T60" s="85"/>
      <c r="U60" s="85"/>
      <c r="V60" s="343"/>
      <c r="W60" s="343" t="s">
        <v>237</v>
      </c>
      <c r="X60" s="343">
        <v>129</v>
      </c>
      <c r="Y60" s="344">
        <v>5.3526970954356844E-2</v>
      </c>
      <c r="Z60" s="343"/>
      <c r="AA60" s="343" t="s">
        <v>215</v>
      </c>
      <c r="AB60" s="343">
        <v>94</v>
      </c>
      <c r="AC60" s="344">
        <v>6.2792251169004679E-2</v>
      </c>
      <c r="AD60" s="343"/>
      <c r="AE60" s="343"/>
    </row>
    <row r="61" spans="1:31" ht="20.100000000000001" customHeight="1">
      <c r="A61" s="85"/>
      <c r="B61" s="85"/>
      <c r="C61" s="85"/>
      <c r="D61" s="85"/>
      <c r="E61" s="85"/>
      <c r="F61" s="85"/>
      <c r="G61" s="85"/>
      <c r="H61" s="85"/>
      <c r="I61" s="87" t="str">
        <f>W59</f>
        <v>Kasos</v>
      </c>
      <c r="J61" s="85"/>
      <c r="K61" s="85"/>
      <c r="L61" s="85"/>
      <c r="M61" s="85"/>
      <c r="N61" s="85"/>
      <c r="O61" s="85"/>
      <c r="P61" s="85"/>
      <c r="Q61" s="85"/>
      <c r="R61" s="85"/>
      <c r="S61" s="87" t="str">
        <f>AA59</f>
        <v>Kasos</v>
      </c>
      <c r="T61" s="85"/>
      <c r="U61" s="85"/>
      <c r="V61" s="343"/>
      <c r="W61" s="343" t="s">
        <v>211</v>
      </c>
      <c r="X61" s="343">
        <v>143</v>
      </c>
      <c r="Y61" s="344">
        <v>5.9336099585062238E-2</v>
      </c>
      <c r="Z61" s="343"/>
      <c r="AA61" s="343" t="s">
        <v>214</v>
      </c>
      <c r="AB61" s="343">
        <v>104</v>
      </c>
      <c r="AC61" s="344">
        <v>6.9472277889111561E-2</v>
      </c>
      <c r="AD61" s="343"/>
      <c r="AE61" s="343"/>
    </row>
    <row r="62" spans="1:31" ht="20.100000000000001" customHeight="1">
      <c r="A62" s="85"/>
      <c r="B62" s="85"/>
      <c r="C62" s="85"/>
      <c r="D62" s="85"/>
      <c r="E62" s="85"/>
      <c r="F62" s="85"/>
      <c r="G62" s="85"/>
      <c r="H62" s="85"/>
      <c r="I62" s="87" t="str">
        <f>W58</f>
        <v>Tiesiosios žarnos, išangės</v>
      </c>
      <c r="J62" s="85"/>
      <c r="K62" s="85"/>
      <c r="L62" s="85"/>
      <c r="M62" s="85"/>
      <c r="N62" s="85"/>
      <c r="O62" s="85"/>
      <c r="P62" s="85"/>
      <c r="Q62" s="85"/>
      <c r="R62" s="85"/>
      <c r="S62" s="87" t="str">
        <f>AA58</f>
        <v>Gimdos kaklelio</v>
      </c>
      <c r="T62" s="85"/>
      <c r="U62" s="85"/>
      <c r="V62" s="343"/>
      <c r="W62" s="343" t="s">
        <v>215</v>
      </c>
      <c r="X62" s="343">
        <v>188</v>
      </c>
      <c r="Y62" s="344">
        <v>7.8008298755186722E-2</v>
      </c>
      <c r="Z62" s="343"/>
      <c r="AA62" s="343" t="s">
        <v>217</v>
      </c>
      <c r="AB62" s="343">
        <v>111</v>
      </c>
      <c r="AC62" s="344">
        <v>7.4148296593186377E-2</v>
      </c>
      <c r="AD62" s="343"/>
      <c r="AE62" s="343"/>
    </row>
    <row r="63" spans="1:31" ht="20.100000000000001" customHeight="1">
      <c r="A63" s="85"/>
      <c r="B63" s="85"/>
      <c r="C63" s="85"/>
      <c r="D63" s="85"/>
      <c r="E63" s="85"/>
      <c r="F63" s="85"/>
      <c r="G63" s="85"/>
      <c r="H63" s="85"/>
      <c r="I63" s="87" t="str">
        <f>W57</f>
        <v>Stemplės</v>
      </c>
      <c r="J63" s="85"/>
      <c r="K63" s="85"/>
      <c r="L63" s="85"/>
      <c r="M63" s="85"/>
      <c r="N63" s="85"/>
      <c r="O63" s="85"/>
      <c r="P63" s="85"/>
      <c r="Q63" s="85"/>
      <c r="R63" s="85"/>
      <c r="S63" s="87" t="str">
        <f>AA57</f>
        <v>Gimdos kūno</v>
      </c>
      <c r="T63" s="85"/>
      <c r="U63" s="85"/>
      <c r="V63" s="343"/>
      <c r="W63" s="343" t="s">
        <v>218</v>
      </c>
      <c r="X63" s="343">
        <v>194</v>
      </c>
      <c r="Y63" s="344">
        <v>8.0497925311203325E-2</v>
      </c>
      <c r="Z63" s="343"/>
      <c r="AA63" s="343" t="s">
        <v>231</v>
      </c>
      <c r="AB63" s="343">
        <v>120</v>
      </c>
      <c r="AC63" s="344">
        <v>8.0160320641282562E-2</v>
      </c>
      <c r="AD63" s="343"/>
      <c r="AE63" s="343"/>
    </row>
    <row r="64" spans="1:31" ht="20.100000000000001" customHeight="1">
      <c r="A64" s="85"/>
      <c r="B64" s="85"/>
      <c r="C64" s="85"/>
      <c r="D64" s="85"/>
      <c r="E64" s="85"/>
      <c r="F64" s="85"/>
      <c r="G64" s="85"/>
      <c r="H64" s="85"/>
      <c r="I64" s="87" t="str">
        <f>W56</f>
        <v>Gaubtinės žarnos</v>
      </c>
      <c r="J64" s="85"/>
      <c r="K64" s="85"/>
      <c r="L64" s="85"/>
      <c r="M64" s="85"/>
      <c r="N64" s="85"/>
      <c r="O64" s="85"/>
      <c r="P64" s="85"/>
      <c r="Q64" s="85"/>
      <c r="R64" s="85"/>
      <c r="S64" s="87" t="str">
        <f>AA56</f>
        <v>Tiesiosios žarnos, išangės</v>
      </c>
      <c r="T64" s="85"/>
      <c r="U64" s="85"/>
      <c r="V64" s="343"/>
      <c r="W64" s="343" t="s">
        <v>217</v>
      </c>
      <c r="X64" s="343">
        <v>688</v>
      </c>
      <c r="Y64" s="344">
        <v>0.2854771784232365</v>
      </c>
      <c r="Z64" s="343"/>
      <c r="AA64" s="343" t="s">
        <v>234</v>
      </c>
      <c r="AB64" s="343">
        <v>261</v>
      </c>
      <c r="AC64" s="344">
        <v>0.17434869739478959</v>
      </c>
      <c r="AD64" s="343"/>
      <c r="AE64" s="343"/>
    </row>
    <row r="65" spans="1:31" ht="20.100000000000001" customHeight="1">
      <c r="A65" s="85"/>
      <c r="B65" s="85"/>
      <c r="C65" s="85"/>
      <c r="D65" s="85"/>
      <c r="E65" s="85"/>
      <c r="F65" s="85"/>
      <c r="G65" s="85"/>
      <c r="H65" s="85"/>
      <c r="I65" s="87" t="str">
        <f>W55</f>
        <v>Inkstų</v>
      </c>
      <c r="J65" s="85"/>
      <c r="K65" s="85"/>
      <c r="L65" s="85"/>
      <c r="M65" s="85"/>
      <c r="N65" s="85"/>
      <c r="O65" s="85"/>
      <c r="P65" s="85"/>
      <c r="Q65" s="85"/>
      <c r="R65" s="85"/>
      <c r="S65" s="87" t="str">
        <f>AA55</f>
        <v>Smegenų</v>
      </c>
      <c r="T65" s="85"/>
      <c r="U65" s="85"/>
      <c r="V65" s="343"/>
      <c r="W65" s="345" t="s">
        <v>210</v>
      </c>
      <c r="X65" s="343">
        <v>2410</v>
      </c>
      <c r="Y65" s="344">
        <v>1</v>
      </c>
      <c r="Z65" s="343"/>
      <c r="AA65" s="345" t="s">
        <v>210</v>
      </c>
      <c r="AB65" s="343">
        <v>1497</v>
      </c>
      <c r="AC65" s="344">
        <v>1</v>
      </c>
      <c r="AD65" s="343"/>
      <c r="AE65" s="343"/>
    </row>
    <row r="66" spans="1:31" ht="20.100000000000001" customHeight="1">
      <c r="A66" s="85"/>
      <c r="B66" s="85"/>
      <c r="C66" s="85"/>
      <c r="D66" s="85"/>
      <c r="E66" s="85"/>
      <c r="F66" s="85"/>
      <c r="G66" s="85"/>
      <c r="H66" s="85"/>
      <c r="I66" s="87" t="str">
        <f>W54</f>
        <v>Kiti</v>
      </c>
      <c r="J66" s="85"/>
      <c r="K66" s="85"/>
      <c r="L66" s="85"/>
      <c r="M66" s="85"/>
      <c r="N66" s="85"/>
      <c r="O66" s="85"/>
      <c r="P66" s="85"/>
      <c r="Q66" s="85"/>
      <c r="R66" s="85"/>
      <c r="S66" s="87" t="str">
        <f>AA54</f>
        <v>Kiti</v>
      </c>
      <c r="T66" s="85"/>
      <c r="U66" s="85"/>
      <c r="V66" s="343"/>
      <c r="W66" s="544" t="s">
        <v>469</v>
      </c>
      <c r="X66" s="544"/>
      <c r="Y66" s="544"/>
      <c r="Z66" s="343"/>
      <c r="AA66" s="544" t="s">
        <v>474</v>
      </c>
      <c r="AB66" s="544"/>
      <c r="AC66" s="544"/>
      <c r="AD66" s="343"/>
      <c r="AE66" s="343"/>
    </row>
    <row r="67" spans="1:31" ht="24.95" customHeight="1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343"/>
      <c r="W67" s="343" t="s">
        <v>26</v>
      </c>
      <c r="X67" s="343">
        <v>274</v>
      </c>
      <c r="Y67" s="344">
        <v>0.15902495647127105</v>
      </c>
      <c r="Z67" s="343"/>
      <c r="AA67" s="343" t="s">
        <v>26</v>
      </c>
      <c r="AB67" s="343">
        <v>529</v>
      </c>
      <c r="AC67" s="344">
        <v>0.30091012514220705</v>
      </c>
      <c r="AD67" s="343"/>
      <c r="AE67" s="343"/>
    </row>
    <row r="68" spans="1:31" ht="24.95" customHeight="1">
      <c r="A68" s="85"/>
      <c r="B68" s="85"/>
      <c r="C68" s="545" t="str">
        <f>W66</f>
        <v>Vyrai, 75 ir daugiau metų (1723 atv.)</v>
      </c>
      <c r="D68" s="545"/>
      <c r="E68" s="545"/>
      <c r="F68" s="545"/>
      <c r="G68" s="545"/>
      <c r="H68" s="545"/>
      <c r="I68" s="545"/>
      <c r="J68" s="85"/>
      <c r="K68" s="85"/>
      <c r="L68" s="85"/>
      <c r="M68" s="545" t="str">
        <f>AA66</f>
        <v>Moterys, 75 ir daugiau metų (1758 atv.)</v>
      </c>
      <c r="N68" s="545"/>
      <c r="O68" s="545"/>
      <c r="P68" s="545"/>
      <c r="Q68" s="545"/>
      <c r="R68" s="545"/>
      <c r="S68" s="545"/>
      <c r="T68" s="85"/>
      <c r="U68" s="85"/>
      <c r="V68" s="343"/>
      <c r="W68" s="343" t="s">
        <v>213</v>
      </c>
      <c r="X68" s="343">
        <v>64</v>
      </c>
      <c r="Y68" s="344">
        <v>3.71445153801509E-2</v>
      </c>
      <c r="Z68" s="343"/>
      <c r="AA68" s="343" t="s">
        <v>226</v>
      </c>
      <c r="AB68" s="343">
        <v>62</v>
      </c>
      <c r="AC68" s="344">
        <v>3.5267349260523322E-2</v>
      </c>
      <c r="AD68" s="343"/>
      <c r="AE68" s="343"/>
    </row>
    <row r="69" spans="1:31" ht="20.100000000000001" customHeight="1">
      <c r="A69" s="85"/>
      <c r="B69" s="85"/>
      <c r="C69" s="85"/>
      <c r="D69" s="85"/>
      <c r="E69" s="85"/>
      <c r="F69" s="85"/>
      <c r="G69" s="85"/>
      <c r="H69" s="85"/>
      <c r="I69" s="87" t="str">
        <f>W77</f>
        <v>Priešinės liaukos</v>
      </c>
      <c r="J69" s="85"/>
      <c r="K69" s="85"/>
      <c r="L69" s="85"/>
      <c r="M69" s="85"/>
      <c r="N69" s="85"/>
      <c r="O69" s="85"/>
      <c r="P69" s="85"/>
      <c r="Q69" s="85"/>
      <c r="R69" s="85"/>
      <c r="S69" s="87" t="str">
        <f>AA77</f>
        <v>Krūties</v>
      </c>
      <c r="T69" s="85"/>
      <c r="U69" s="85"/>
      <c r="V69" s="343"/>
      <c r="W69" s="343" t="s">
        <v>227</v>
      </c>
      <c r="X69" s="343">
        <v>65</v>
      </c>
      <c r="Y69" s="344">
        <v>3.772489843296576E-2</v>
      </c>
      <c r="Z69" s="343"/>
      <c r="AA69" s="343" t="s">
        <v>233</v>
      </c>
      <c r="AB69" s="343">
        <v>71</v>
      </c>
      <c r="AC69" s="344">
        <v>4.0386803185437997E-2</v>
      </c>
      <c r="AD69" s="343"/>
      <c r="AE69" s="343"/>
    </row>
    <row r="70" spans="1:31" ht="20.100000000000001" customHeight="1">
      <c r="A70" s="85"/>
      <c r="B70" s="85"/>
      <c r="C70" s="85"/>
      <c r="D70" s="85"/>
      <c r="E70" s="85"/>
      <c r="F70" s="85"/>
      <c r="G70" s="85"/>
      <c r="H70" s="85"/>
      <c r="I70" s="87" t="str">
        <f>W76</f>
        <v>Plaučių, trachėjos, bronchų</v>
      </c>
      <c r="J70" s="85"/>
      <c r="K70" s="85"/>
      <c r="L70" s="85"/>
      <c r="M70" s="85"/>
      <c r="N70" s="85"/>
      <c r="O70" s="85"/>
      <c r="P70" s="85"/>
      <c r="Q70" s="85"/>
      <c r="R70" s="85"/>
      <c r="S70" s="87" t="str">
        <f>AA76</f>
        <v>Gaubtinės žarnos</v>
      </c>
      <c r="T70" s="85"/>
      <c r="U70" s="85"/>
      <c r="V70" s="343"/>
      <c r="W70" s="343" t="s">
        <v>237</v>
      </c>
      <c r="X70" s="343">
        <v>67</v>
      </c>
      <c r="Y70" s="344">
        <v>3.8885664538595474E-2</v>
      </c>
      <c r="Z70" s="343"/>
      <c r="AA70" s="343" t="s">
        <v>212</v>
      </c>
      <c r="AB70" s="343">
        <v>100</v>
      </c>
      <c r="AC70" s="344">
        <v>5.6882821387940839E-2</v>
      </c>
      <c r="AD70" s="343"/>
      <c r="AE70" s="343"/>
    </row>
    <row r="71" spans="1:31" ht="20.100000000000001" customHeight="1">
      <c r="A71" s="85"/>
      <c r="B71" s="85"/>
      <c r="C71" s="85"/>
      <c r="D71" s="85"/>
      <c r="E71" s="85"/>
      <c r="F71" s="85"/>
      <c r="G71" s="85"/>
      <c r="H71" s="85"/>
      <c r="I71" s="87" t="str">
        <f>W75</f>
        <v>Skrandžio</v>
      </c>
      <c r="J71" s="85"/>
      <c r="K71" s="85"/>
      <c r="L71" s="85"/>
      <c r="M71" s="85"/>
      <c r="N71" s="85"/>
      <c r="O71" s="85"/>
      <c r="P71" s="85"/>
      <c r="Q71" s="85"/>
      <c r="R71" s="85"/>
      <c r="S71" s="87" t="str">
        <f>AA75</f>
        <v>Skrandžio</v>
      </c>
      <c r="T71" s="85"/>
      <c r="U71" s="85"/>
      <c r="V71" s="343"/>
      <c r="W71" s="343" t="s">
        <v>219</v>
      </c>
      <c r="X71" s="343">
        <v>70</v>
      </c>
      <c r="Y71" s="344">
        <v>4.0626813697040048E-2</v>
      </c>
      <c r="Z71" s="343"/>
      <c r="AA71" s="343" t="s">
        <v>231</v>
      </c>
      <c r="AB71" s="343">
        <v>108</v>
      </c>
      <c r="AC71" s="344">
        <v>6.1433447098976107E-2</v>
      </c>
      <c r="AD71" s="343"/>
      <c r="AE71" s="343"/>
    </row>
    <row r="72" spans="1:31" ht="20.100000000000001" customHeight="1">
      <c r="A72" s="85"/>
      <c r="B72" s="85"/>
      <c r="C72" s="85"/>
      <c r="D72" s="85"/>
      <c r="E72" s="85"/>
      <c r="F72" s="85"/>
      <c r="G72" s="85"/>
      <c r="H72" s="85"/>
      <c r="I72" s="87" t="str">
        <f>W74</f>
        <v>Gaubtinės žarnos</v>
      </c>
      <c r="J72" s="85"/>
      <c r="K72" s="85"/>
      <c r="L72" s="85"/>
      <c r="M72" s="85"/>
      <c r="N72" s="85"/>
      <c r="O72" s="85"/>
      <c r="P72" s="85"/>
      <c r="Q72" s="85"/>
      <c r="R72" s="85"/>
      <c r="S72" s="87" t="str">
        <f>AA74</f>
        <v>Kasos</v>
      </c>
      <c r="T72" s="85"/>
      <c r="U72" s="85"/>
      <c r="V72" s="343"/>
      <c r="W72" s="343" t="s">
        <v>220</v>
      </c>
      <c r="X72" s="343">
        <v>106</v>
      </c>
      <c r="Y72" s="344">
        <v>6.1520603598374926E-2</v>
      </c>
      <c r="Z72" s="343"/>
      <c r="AA72" s="343" t="s">
        <v>217</v>
      </c>
      <c r="AB72" s="343">
        <v>115</v>
      </c>
      <c r="AC72" s="344">
        <v>6.5415244596131975E-2</v>
      </c>
      <c r="AD72" s="343"/>
      <c r="AE72" s="343"/>
    </row>
    <row r="73" spans="1:31" ht="20.100000000000001" customHeight="1">
      <c r="A73" s="85"/>
      <c r="B73" s="85"/>
      <c r="C73" s="85"/>
      <c r="D73" s="85"/>
      <c r="E73" s="85"/>
      <c r="F73" s="85"/>
      <c r="G73" s="85"/>
      <c r="H73" s="85"/>
      <c r="I73" s="87" t="str">
        <f>W73</f>
        <v>Tiesiosios žarnos, išangės</v>
      </c>
      <c r="J73" s="85"/>
      <c r="K73" s="85"/>
      <c r="L73" s="85"/>
      <c r="M73" s="85"/>
      <c r="N73" s="85"/>
      <c r="O73" s="85"/>
      <c r="P73" s="85"/>
      <c r="Q73" s="85"/>
      <c r="R73" s="85"/>
      <c r="S73" s="87" t="str">
        <f>AA73</f>
        <v>Nepatikslintos lokalizacijos</v>
      </c>
      <c r="T73" s="85"/>
      <c r="U73" s="85"/>
      <c r="V73" s="343"/>
      <c r="W73" s="343" t="s">
        <v>212</v>
      </c>
      <c r="X73" s="343">
        <v>114</v>
      </c>
      <c r="Y73" s="344">
        <v>6.6163668020893796E-2</v>
      </c>
      <c r="Z73" s="343"/>
      <c r="AA73" s="343" t="s">
        <v>237</v>
      </c>
      <c r="AB73" s="343">
        <v>124</v>
      </c>
      <c r="AC73" s="344">
        <v>7.0534698521046643E-2</v>
      </c>
      <c r="AD73" s="343"/>
      <c r="AE73" s="343"/>
    </row>
    <row r="74" spans="1:31" ht="20.100000000000001" customHeight="1">
      <c r="A74" s="85"/>
      <c r="B74" s="85"/>
      <c r="C74" s="85"/>
      <c r="D74" s="85"/>
      <c r="E74" s="85"/>
      <c r="F74" s="85"/>
      <c r="G74" s="85"/>
      <c r="H74" s="85"/>
      <c r="I74" s="87" t="str">
        <f>W72</f>
        <v>Šlapimo pūslės</v>
      </c>
      <c r="J74" s="85"/>
      <c r="K74" s="85"/>
      <c r="L74" s="85"/>
      <c r="M74" s="85"/>
      <c r="N74" s="85"/>
      <c r="O74" s="85"/>
      <c r="P74" s="85"/>
      <c r="Q74" s="85"/>
      <c r="R74" s="85"/>
      <c r="S74" s="87" t="str">
        <f>AA72</f>
        <v>Plaučių, trachėjos, bronchų</v>
      </c>
      <c r="T74" s="85"/>
      <c r="U74" s="85"/>
      <c r="V74" s="343"/>
      <c r="W74" s="343" t="s">
        <v>214</v>
      </c>
      <c r="X74" s="343">
        <v>133</v>
      </c>
      <c r="Y74" s="344">
        <v>7.7190946024376095E-2</v>
      </c>
      <c r="Z74" s="343"/>
      <c r="AA74" s="343" t="s">
        <v>219</v>
      </c>
      <c r="AB74" s="343">
        <v>136</v>
      </c>
      <c r="AC74" s="344">
        <v>7.7360637087599549E-2</v>
      </c>
      <c r="AD74" s="343"/>
      <c r="AE74" s="343"/>
    </row>
    <row r="75" spans="1:31" ht="20.100000000000001" customHeight="1">
      <c r="A75" s="85"/>
      <c r="B75" s="85"/>
      <c r="C75" s="85"/>
      <c r="D75" s="85"/>
      <c r="E75" s="85"/>
      <c r="F75" s="85"/>
      <c r="G75" s="85"/>
      <c r="H75" s="85"/>
      <c r="I75" s="87" t="str">
        <f>W71</f>
        <v>Kasos</v>
      </c>
      <c r="J75" s="85"/>
      <c r="K75" s="85"/>
      <c r="L75" s="85"/>
      <c r="M75" s="85"/>
      <c r="N75" s="85"/>
      <c r="O75" s="85"/>
      <c r="P75" s="85"/>
      <c r="Q75" s="85"/>
      <c r="R75" s="85"/>
      <c r="S75" s="87" t="str">
        <f>AA71</f>
        <v>Kiaušidžių</v>
      </c>
      <c r="T75" s="85"/>
      <c r="U75" s="85"/>
      <c r="V75" s="343"/>
      <c r="W75" s="343" t="s">
        <v>215</v>
      </c>
      <c r="X75" s="343">
        <v>174</v>
      </c>
      <c r="Y75" s="344">
        <v>0.10098665118978525</v>
      </c>
      <c r="Z75" s="343"/>
      <c r="AA75" s="343" t="s">
        <v>215</v>
      </c>
      <c r="AB75" s="343">
        <v>138</v>
      </c>
      <c r="AC75" s="344">
        <v>7.8498293515358364E-2</v>
      </c>
      <c r="AD75" s="343"/>
      <c r="AE75" s="343"/>
    </row>
    <row r="76" spans="1:31" ht="20.100000000000001" customHeight="1">
      <c r="A76" s="85"/>
      <c r="B76" s="85"/>
      <c r="C76" s="85"/>
      <c r="D76" s="85"/>
      <c r="E76" s="85"/>
      <c r="F76" s="85"/>
      <c r="G76" s="85"/>
      <c r="H76" s="85"/>
      <c r="I76" s="87" t="str">
        <f>W70</f>
        <v>Nepatikslintos lokalizacijos</v>
      </c>
      <c r="J76" s="85"/>
      <c r="K76" s="85"/>
      <c r="L76" s="85"/>
      <c r="M76" s="85"/>
      <c r="N76" s="85"/>
      <c r="O76" s="85"/>
      <c r="P76" s="85"/>
      <c r="Q76" s="85"/>
      <c r="R76" s="85"/>
      <c r="S76" s="87" t="str">
        <f>AA70</f>
        <v>Tiesiosios žarnos, išangės</v>
      </c>
      <c r="T76" s="85"/>
      <c r="U76" s="85"/>
      <c r="V76" s="343"/>
      <c r="W76" s="343" t="s">
        <v>217</v>
      </c>
      <c r="X76" s="343">
        <v>313</v>
      </c>
      <c r="Y76" s="344">
        <v>0.1816598955310505</v>
      </c>
      <c r="Z76" s="343"/>
      <c r="AA76" s="343" t="s">
        <v>214</v>
      </c>
      <c r="AB76" s="343">
        <v>167</v>
      </c>
      <c r="AC76" s="344">
        <v>9.4994311717861199E-2</v>
      </c>
      <c r="AD76" s="343"/>
      <c r="AE76" s="343"/>
    </row>
    <row r="77" spans="1:31" ht="20.100000000000001" customHeight="1">
      <c r="A77" s="85"/>
      <c r="B77" s="85"/>
      <c r="C77" s="85"/>
      <c r="D77" s="85"/>
      <c r="E77" s="85"/>
      <c r="F77" s="85"/>
      <c r="G77" s="85"/>
      <c r="H77" s="85"/>
      <c r="I77" s="87" t="str">
        <f>W69</f>
        <v>Leukemijos</v>
      </c>
      <c r="J77" s="85"/>
      <c r="K77" s="85"/>
      <c r="L77" s="85"/>
      <c r="M77" s="85"/>
      <c r="N77" s="85"/>
      <c r="O77" s="85"/>
      <c r="P77" s="85"/>
      <c r="Q77" s="85"/>
      <c r="R77" s="85"/>
      <c r="S77" s="87" t="str">
        <f>AA69</f>
        <v>Gimdos kūno</v>
      </c>
      <c r="T77" s="85"/>
      <c r="U77" s="85"/>
      <c r="V77" s="343"/>
      <c r="W77" s="343" t="s">
        <v>218</v>
      </c>
      <c r="X77" s="343">
        <v>343</v>
      </c>
      <c r="Y77" s="344">
        <v>0.19907138711549624</v>
      </c>
      <c r="Z77" s="343"/>
      <c r="AA77" s="343" t="s">
        <v>234</v>
      </c>
      <c r="AB77" s="343">
        <v>208</v>
      </c>
      <c r="AC77" s="344">
        <v>0.11831626848691695</v>
      </c>
      <c r="AD77" s="343"/>
      <c r="AE77" s="343"/>
    </row>
    <row r="78" spans="1:31" ht="20.100000000000001" customHeight="1">
      <c r="A78" s="85"/>
      <c r="B78" s="85"/>
      <c r="C78" s="85"/>
      <c r="D78" s="85"/>
      <c r="E78" s="85"/>
      <c r="F78" s="85"/>
      <c r="G78" s="85"/>
      <c r="H78" s="85"/>
      <c r="I78" s="87" t="str">
        <f>W68</f>
        <v>Inkstų</v>
      </c>
      <c r="J78" s="85"/>
      <c r="K78" s="85"/>
      <c r="L78" s="85"/>
      <c r="M78" s="85"/>
      <c r="N78" s="85"/>
      <c r="O78" s="85"/>
      <c r="P78" s="85"/>
      <c r="Q78" s="85"/>
      <c r="R78" s="85"/>
      <c r="S78" s="87" t="str">
        <f>AA68</f>
        <v>Ne Hodžkino limfomos</v>
      </c>
      <c r="T78" s="85"/>
      <c r="U78" s="85"/>
      <c r="V78" s="343"/>
      <c r="W78" s="345" t="s">
        <v>210</v>
      </c>
      <c r="X78" s="343">
        <v>1723</v>
      </c>
      <c r="Y78" s="344">
        <v>0.99999999999999989</v>
      </c>
      <c r="Z78" s="343"/>
      <c r="AA78" s="345" t="s">
        <v>210</v>
      </c>
      <c r="AB78" s="343">
        <v>1758</v>
      </c>
      <c r="AC78" s="344">
        <v>1</v>
      </c>
      <c r="AD78" s="343"/>
      <c r="AE78" s="343"/>
    </row>
    <row r="79" spans="1:31" ht="20.100000000000001" customHeight="1">
      <c r="A79" s="85"/>
      <c r="B79" s="85"/>
      <c r="C79" s="85"/>
      <c r="D79" s="85"/>
      <c r="E79" s="85"/>
      <c r="F79" s="85"/>
      <c r="G79" s="85"/>
      <c r="H79" s="85"/>
      <c r="I79" s="87" t="str">
        <f>W67</f>
        <v>Kiti</v>
      </c>
      <c r="J79" s="85"/>
      <c r="K79" s="85"/>
      <c r="L79" s="85"/>
      <c r="M79" s="85"/>
      <c r="N79" s="85"/>
      <c r="O79" s="85"/>
      <c r="P79" s="85"/>
      <c r="Q79" s="85"/>
      <c r="R79" s="85"/>
      <c r="S79" s="87" t="str">
        <f>AA67</f>
        <v>Kiti</v>
      </c>
      <c r="T79" s="85"/>
      <c r="U79" s="85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</row>
    <row r="80" spans="1:31" ht="20.100000000000001" customHeight="1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</row>
    <row r="81" spans="1:31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343"/>
      <c r="W81" s="343"/>
      <c r="X81" s="343"/>
      <c r="Y81" s="343"/>
      <c r="Z81" s="343"/>
      <c r="AA81" s="343"/>
      <c r="AB81" s="343"/>
      <c r="AC81" s="343"/>
      <c r="AD81" s="343"/>
      <c r="AE81" s="343"/>
    </row>
  </sheetData>
  <mergeCells count="24">
    <mergeCell ref="C55:I55"/>
    <mergeCell ref="M55:S55"/>
    <mergeCell ref="W66:Y66"/>
    <mergeCell ref="AA66:AC66"/>
    <mergeCell ref="C68:I68"/>
    <mergeCell ref="M68:S68"/>
    <mergeCell ref="W40:Y40"/>
    <mergeCell ref="AA40:AC40"/>
    <mergeCell ref="C42:I42"/>
    <mergeCell ref="M42:S42"/>
    <mergeCell ref="W53:Y53"/>
    <mergeCell ref="AA53:AC53"/>
    <mergeCell ref="C16:I16"/>
    <mergeCell ref="M16:S16"/>
    <mergeCell ref="W27:Y27"/>
    <mergeCell ref="AA27:AC27"/>
    <mergeCell ref="C29:I29"/>
    <mergeCell ref="M29:S29"/>
    <mergeCell ref="W1:Y1"/>
    <mergeCell ref="AA1:AC1"/>
    <mergeCell ref="C3:I3"/>
    <mergeCell ref="M3:S3"/>
    <mergeCell ref="W14:Y14"/>
    <mergeCell ref="AA14:AC1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C000"/>
  </sheetPr>
  <dimension ref="A1:NX145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style="211" customWidth="1"/>
    <col min="9" max="16" width="0.85546875" style="211" customWidth="1"/>
    <col min="17" max="17" width="9.42578125" style="211" customWidth="1"/>
    <col min="18" max="18" width="32.42578125" bestFit="1" customWidth="1"/>
    <col min="19" max="19" width="7.85546875" bestFit="1" customWidth="1"/>
    <col min="20" max="23" width="6.140625" bestFit="1" customWidth="1"/>
    <col min="24" max="24" width="6.85546875" bestFit="1" customWidth="1"/>
    <col min="25" max="25" width="6.42578125" bestFit="1" customWidth="1"/>
    <col min="26" max="29" width="6.140625" bestFit="1" customWidth="1"/>
    <col min="30" max="37" width="7" bestFit="1" customWidth="1"/>
    <col min="38" max="38" width="32.42578125" bestFit="1" customWidth="1"/>
    <col min="39" max="39" width="7.85546875" bestFit="1" customWidth="1"/>
    <col min="40" max="43" width="6.140625" bestFit="1" customWidth="1"/>
    <col min="44" max="44" width="6.85546875" bestFit="1" customWidth="1"/>
    <col min="45" max="45" width="7.5703125" bestFit="1" customWidth="1"/>
    <col min="46" max="49" width="6.140625" bestFit="1" customWidth="1"/>
    <col min="50" max="55" width="7" bestFit="1" customWidth="1"/>
    <col min="56" max="57" width="6.140625" bestFit="1" customWidth="1"/>
  </cols>
  <sheetData>
    <row r="1" spans="1:60" ht="15">
      <c r="A1" s="30"/>
      <c r="B1" s="546" t="s">
        <v>402</v>
      </c>
      <c r="C1" s="546"/>
      <c r="D1" s="546"/>
      <c r="E1" s="431"/>
      <c r="F1" s="441"/>
      <c r="G1" s="30"/>
      <c r="H1" s="58"/>
      <c r="I1" s="58"/>
      <c r="J1" s="58"/>
      <c r="K1" s="58"/>
      <c r="L1" s="58"/>
      <c r="M1" s="58"/>
      <c r="N1" s="58"/>
      <c r="O1" s="58"/>
      <c r="P1" s="58"/>
      <c r="Q1" s="317"/>
      <c r="R1" s="547" t="s">
        <v>414</v>
      </c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547" t="s">
        <v>415</v>
      </c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  <c r="BB1" s="318"/>
      <c r="BC1" s="318"/>
      <c r="BD1" s="318"/>
      <c r="BE1" s="318"/>
    </row>
    <row r="2" spans="1:60" ht="12.6" customHeight="1">
      <c r="A2" s="30"/>
      <c r="B2" s="441" t="str">
        <f>"Mirtingumas nuo piktybinių navikų Lietuvoje  " &amp; GrafikaiSerg!A1 &amp; " metais. Vyrai ir moterys"</f>
        <v>Mirtingumas nuo piktybinių navikų Lietuvoje  2015 metais. Vyrai ir moterys</v>
      </c>
      <c r="C2" s="441"/>
      <c r="D2" s="441"/>
      <c r="E2" s="442"/>
      <c r="F2" s="441"/>
      <c r="G2" s="30"/>
      <c r="H2" s="58"/>
      <c r="I2" s="58"/>
      <c r="J2" s="58"/>
      <c r="K2" s="58"/>
      <c r="L2" s="58"/>
      <c r="M2" s="58"/>
      <c r="N2" s="58"/>
      <c r="O2" s="58"/>
      <c r="P2" s="58"/>
      <c r="Q2" s="317"/>
      <c r="R2" s="547"/>
      <c r="S2" s="319" t="s">
        <v>354</v>
      </c>
      <c r="T2" s="548" t="s">
        <v>358</v>
      </c>
      <c r="U2" s="548"/>
      <c r="V2" s="548"/>
      <c r="W2" s="321">
        <f>GrafikaiSerg!A1</f>
        <v>2015</v>
      </c>
      <c r="X2" s="318" t="s">
        <v>357</v>
      </c>
      <c r="Y2" s="334" t="str">
        <f>CONCATENATE("pop",RIGHT(W2,2),"m")</f>
        <v>pop15m</v>
      </c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547"/>
      <c r="AM2" s="319" t="s">
        <v>354</v>
      </c>
      <c r="AN2" s="548" t="s">
        <v>358</v>
      </c>
      <c r="AO2" s="548"/>
      <c r="AP2" s="548"/>
      <c r="AQ2" s="321">
        <f>W2</f>
        <v>2015</v>
      </c>
      <c r="AR2" s="318" t="s">
        <v>357</v>
      </c>
      <c r="AS2" s="318" t="str">
        <f>CONCATENATE("pop",RIGHT(AQ2,2),"m")</f>
        <v>pop15m</v>
      </c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</row>
    <row r="3" spans="1:60" ht="12.6" customHeight="1">
      <c r="A3" s="30"/>
      <c r="B3" s="63" t="s">
        <v>619</v>
      </c>
      <c r="C3" s="30"/>
      <c r="D3" s="30"/>
      <c r="E3" s="30"/>
      <c r="F3" s="57"/>
      <c r="G3" s="57"/>
      <c r="H3" s="58"/>
      <c r="I3" s="58"/>
      <c r="J3" s="58"/>
      <c r="K3" s="58"/>
      <c r="L3" s="58"/>
      <c r="M3" s="58"/>
      <c r="N3" s="58"/>
      <c r="O3" s="58"/>
      <c r="P3" s="58"/>
      <c r="Q3" s="323"/>
      <c r="R3" s="335" t="s">
        <v>408</v>
      </c>
      <c r="S3" s="336">
        <f>SUM(T3:AK3)</f>
        <v>100000</v>
      </c>
      <c r="T3" s="337">
        <v>8000</v>
      </c>
      <c r="U3" s="337">
        <v>7000</v>
      </c>
      <c r="V3" s="337">
        <v>7000</v>
      </c>
      <c r="W3" s="337">
        <v>7000</v>
      </c>
      <c r="X3" s="337">
        <v>7000</v>
      </c>
      <c r="Y3" s="337">
        <v>7000</v>
      </c>
      <c r="Z3" s="337">
        <v>7000</v>
      </c>
      <c r="AA3" s="337">
        <v>7000</v>
      </c>
      <c r="AB3" s="337">
        <v>7000</v>
      </c>
      <c r="AC3" s="337">
        <v>7000</v>
      </c>
      <c r="AD3" s="337">
        <v>7000</v>
      </c>
      <c r="AE3" s="337">
        <v>6000</v>
      </c>
      <c r="AF3" s="337">
        <v>5000</v>
      </c>
      <c r="AG3" s="337">
        <v>4000</v>
      </c>
      <c r="AH3" s="337">
        <v>3000</v>
      </c>
      <c r="AI3" s="337">
        <v>2000</v>
      </c>
      <c r="AJ3" s="337">
        <v>1000</v>
      </c>
      <c r="AK3" s="337">
        <v>1000</v>
      </c>
      <c r="AL3" s="335" t="s">
        <v>409</v>
      </c>
      <c r="AM3" s="336">
        <f>SUM(AN3:BE3)</f>
        <v>100000</v>
      </c>
      <c r="AN3" s="334">
        <v>12000</v>
      </c>
      <c r="AO3" s="334">
        <v>10000</v>
      </c>
      <c r="AP3" s="334">
        <v>9000</v>
      </c>
      <c r="AQ3" s="334">
        <v>9000</v>
      </c>
      <c r="AR3" s="334">
        <v>8000</v>
      </c>
      <c r="AS3" s="334">
        <v>8000</v>
      </c>
      <c r="AT3" s="334">
        <v>6000</v>
      </c>
      <c r="AU3" s="334">
        <v>6000</v>
      </c>
      <c r="AV3" s="334">
        <v>6000</v>
      </c>
      <c r="AW3" s="334">
        <v>6000</v>
      </c>
      <c r="AX3" s="334">
        <v>5000</v>
      </c>
      <c r="AY3" s="334">
        <v>4000</v>
      </c>
      <c r="AZ3" s="334">
        <v>4000</v>
      </c>
      <c r="BA3" s="334">
        <v>3000</v>
      </c>
      <c r="BB3" s="334">
        <v>2000</v>
      </c>
      <c r="BC3" s="334">
        <v>1000</v>
      </c>
      <c r="BD3" s="334">
        <v>500</v>
      </c>
      <c r="BE3" s="334">
        <v>500</v>
      </c>
    </row>
    <row r="4" spans="1:60" ht="12.6" customHeight="1">
      <c r="A4" s="30"/>
      <c r="B4" s="63"/>
      <c r="C4" s="30"/>
      <c r="D4" s="30"/>
      <c r="E4" s="30"/>
      <c r="F4" s="57"/>
      <c r="G4" s="57"/>
      <c r="H4" s="58"/>
      <c r="I4" s="58"/>
      <c r="J4" s="58"/>
      <c r="K4" s="58"/>
      <c r="L4" s="58"/>
      <c r="M4" s="58"/>
      <c r="N4" s="58"/>
      <c r="O4" s="58"/>
      <c r="P4" s="58"/>
      <c r="Q4" s="323"/>
      <c r="R4" s="335" t="s">
        <v>416</v>
      </c>
      <c r="S4" s="336">
        <f>SUM(T4:AK4)</f>
        <v>1337932</v>
      </c>
      <c r="T4" s="337">
        <f>HLOOKUP($Y$2,Populiacija!$B$1:$BB$20,2,FALSE)</f>
        <v>77411</v>
      </c>
      <c r="U4" s="337">
        <f>HLOOKUP($Y$2,Populiacija!$B$1:$BB$20,3,FALSE)</f>
        <v>71269</v>
      </c>
      <c r="V4" s="337">
        <f>HLOOKUP($Y$2,Populiacija!$B$1:$BB$20,4,FALSE)</f>
        <v>68846</v>
      </c>
      <c r="W4" s="337">
        <f>HLOOKUP($Y$2,Populiacija!$B$1:$BB$20,5,FALSE)</f>
        <v>85448</v>
      </c>
      <c r="X4" s="337">
        <f>HLOOKUP($Y$2,Populiacija!$B$1:$BB$20,6,FALSE)</f>
        <v>103455</v>
      </c>
      <c r="Y4" s="337">
        <f>HLOOKUP($Y$2,Populiacija!$B$1:$BB$20,7,FALSE)</f>
        <v>100471</v>
      </c>
      <c r="Z4" s="337">
        <f>HLOOKUP($Y$2,Populiacija!$B$1:$BB$20,8,FALSE)</f>
        <v>90329</v>
      </c>
      <c r="AA4" s="337">
        <f>HLOOKUP($Y$2,Populiacija!$B$1:$BB$20,9,FALSE)</f>
        <v>87159</v>
      </c>
      <c r="AB4" s="337">
        <f>HLOOKUP($Y$2,Populiacija!$B$1:$BB$20,10,FALSE)</f>
        <v>95371</v>
      </c>
      <c r="AC4" s="337">
        <f>HLOOKUP($Y$2,Populiacija!$B$1:$BB$20,11,FALSE)</f>
        <v>98989</v>
      </c>
      <c r="AD4" s="337">
        <f>HLOOKUP($Y$2,Populiacija!$B$1:$BB$20,12,FALSE)</f>
        <v>105736</v>
      </c>
      <c r="AE4" s="337">
        <f>HLOOKUP($Y$2,Populiacija!$B$1:$BB$20,13,FALSE)</f>
        <v>96361</v>
      </c>
      <c r="AF4" s="337">
        <f>HLOOKUP($Y$2,Populiacija!$B$1:$BB$20,14,FALSE)</f>
        <v>72856</v>
      </c>
      <c r="AG4" s="337">
        <f>HLOOKUP($Y$2,Populiacija!$B$1:$BB$20,15,FALSE)</f>
        <v>57241</v>
      </c>
      <c r="AH4" s="337">
        <f>HLOOKUP($Y$2,Populiacija!$B$1:$BB$20,16,FALSE)</f>
        <v>47318</v>
      </c>
      <c r="AI4" s="337">
        <f>HLOOKUP($Y$2,Populiacija!$B$1:$BB$20,17,FALSE)</f>
        <v>39525</v>
      </c>
      <c r="AJ4" s="337">
        <f>HLOOKUP($Y$2,Populiacija!$B$1:$BB$20,18,FALSE)</f>
        <v>24886</v>
      </c>
      <c r="AK4" s="337">
        <f>HLOOKUP($Y$2,Populiacija!$B$1:$BB$20,19,FALSE)</f>
        <v>15261</v>
      </c>
      <c r="AL4" s="335" t="s">
        <v>416</v>
      </c>
      <c r="AM4" s="336">
        <f>SUM(AN4:BE4)</f>
        <v>1337932</v>
      </c>
      <c r="AN4" s="334">
        <f>HLOOKUP($Y$2,Populiacija!$B$1:$BB$20,2,FALSE)</f>
        <v>77411</v>
      </c>
      <c r="AO4" s="334">
        <f>HLOOKUP($Y$2,Populiacija!$B$1:$BB$20,3,FALSE)</f>
        <v>71269</v>
      </c>
      <c r="AP4" s="334">
        <f>HLOOKUP($Y$2,Populiacija!$B$1:$BB$20,4,FALSE)</f>
        <v>68846</v>
      </c>
      <c r="AQ4" s="334">
        <f>HLOOKUP($Y$2,Populiacija!$B$1:$BB$20,5,FALSE)</f>
        <v>85448</v>
      </c>
      <c r="AR4" s="334">
        <f>HLOOKUP($Y$2,Populiacija!$B$1:$BB$20,6,FALSE)</f>
        <v>103455</v>
      </c>
      <c r="AS4" s="334">
        <f>HLOOKUP($Y$2,Populiacija!$B$1:$BB$20,7,FALSE)</f>
        <v>100471</v>
      </c>
      <c r="AT4" s="334">
        <f>HLOOKUP($Y$2,Populiacija!$B$1:$BB$20,8,FALSE)</f>
        <v>90329</v>
      </c>
      <c r="AU4" s="334">
        <f>HLOOKUP($Y$2,Populiacija!$B$1:$BB$20,9,FALSE)</f>
        <v>87159</v>
      </c>
      <c r="AV4" s="334">
        <f>HLOOKUP($Y$2,Populiacija!$B$1:$BB$20,10,FALSE)</f>
        <v>95371</v>
      </c>
      <c r="AW4" s="334">
        <f>HLOOKUP($Y$2,Populiacija!$B$1:$BB$20,11,FALSE)</f>
        <v>98989</v>
      </c>
      <c r="AX4" s="334">
        <f>HLOOKUP($Y$2,Populiacija!$B$1:$BB$20,12,FALSE)</f>
        <v>105736</v>
      </c>
      <c r="AY4" s="334">
        <f>HLOOKUP($Y$2,Populiacija!$B$1:$BB$20,13,FALSE)</f>
        <v>96361</v>
      </c>
      <c r="AZ4" s="334">
        <f>HLOOKUP($Y$2,Populiacija!$B$1:$BB$20,14,FALSE)</f>
        <v>72856</v>
      </c>
      <c r="BA4" s="334">
        <f>HLOOKUP($Y$2,Populiacija!$B$1:$BB$20,15,FALSE)</f>
        <v>57241</v>
      </c>
      <c r="BB4" s="334">
        <f>HLOOKUP($Y$2,Populiacija!$B$1:$BB$20,16,FALSE)</f>
        <v>47318</v>
      </c>
      <c r="BC4" s="334">
        <f>HLOOKUP($Y$2,Populiacija!$B$1:$BB$20,17,FALSE)</f>
        <v>39525</v>
      </c>
      <c r="BD4" s="334">
        <f>HLOOKUP($Y$2,Populiacija!$B$1:$BB$20,18,FALSE)</f>
        <v>24886</v>
      </c>
      <c r="BE4" s="334">
        <f>HLOOKUP($Y$2,Populiacija!$B$1:$BB$20,19,FALSE)</f>
        <v>15261</v>
      </c>
    </row>
    <row r="5" spans="1:60" ht="12.6" customHeight="1">
      <c r="A5" s="30"/>
      <c r="B5" s="30"/>
      <c r="C5" s="30"/>
      <c r="D5" s="30"/>
      <c r="E5" s="30"/>
      <c r="F5" s="57"/>
      <c r="G5" s="57"/>
      <c r="H5" s="58"/>
      <c r="I5" s="58"/>
      <c r="J5" s="58"/>
      <c r="K5" s="58"/>
      <c r="L5" s="58"/>
      <c r="M5" s="58"/>
      <c r="N5" s="58"/>
      <c r="O5" s="58"/>
      <c r="P5" s="58"/>
      <c r="Q5" s="323"/>
      <c r="R5" s="335" t="s">
        <v>450</v>
      </c>
      <c r="S5" s="443">
        <f>SUM(T5:AK5)</f>
        <v>1566978</v>
      </c>
      <c r="T5" s="444">
        <f>HLOOKUP($Y$2,Populiacija!$B$1:$BB$40,23,FALSE)</f>
        <v>73573</v>
      </c>
      <c r="U5" s="444">
        <f>HLOOKUP($Y$2,Populiacija!$B$1:$BB$40,24,FALSE)</f>
        <v>68112</v>
      </c>
      <c r="V5" s="444">
        <f>HLOOKUP($Y$2,Populiacija!$B$1:$BB$40,25,FALSE)</f>
        <v>65394</v>
      </c>
      <c r="W5" s="444">
        <f>HLOOKUP($Y$2,Populiacija!$B$1:$BB$40,26,FALSE)</f>
        <v>80822</v>
      </c>
      <c r="X5" s="444">
        <f>HLOOKUP($Y$2,Populiacija!$B$1:$BB$40,27,FALSE)</f>
        <v>98060</v>
      </c>
      <c r="Y5" s="444">
        <f>HLOOKUP($Y$2,Populiacija!$B$1:$BB$40,28,FALSE)</f>
        <v>95144</v>
      </c>
      <c r="Z5" s="444">
        <f>HLOOKUP($Y$2,Populiacija!$B$1:$BB$40,29,FALSE)</f>
        <v>87782</v>
      </c>
      <c r="AA5" s="444">
        <f>HLOOKUP($Y$2,Populiacija!$B$1:$BB$40,30,FALSE)</f>
        <v>89193</v>
      </c>
      <c r="AB5" s="444">
        <f>HLOOKUP($Y$2,Populiacija!$B$1:$BB$40,31,FALSE)</f>
        <v>102361</v>
      </c>
      <c r="AC5" s="444">
        <f>HLOOKUP($Y$2,Populiacija!$B$1:$BB$40,32,FALSE)</f>
        <v>108831</v>
      </c>
      <c r="AD5" s="444">
        <f>HLOOKUP($Y$2,Populiacija!$B$1:$BB$40,33,FALSE)</f>
        <v>119456</v>
      </c>
      <c r="AE5" s="444">
        <f>HLOOKUP($Y$2,Populiacija!$B$1:$BB$40,34,FALSE)</f>
        <v>116878</v>
      </c>
      <c r="AF5" s="444">
        <f>HLOOKUP($Y$2,Populiacija!$B$1:$BB$40,35,FALSE)</f>
        <v>97783</v>
      </c>
      <c r="AG5" s="444">
        <f>HLOOKUP($Y$2,Populiacija!$B$1:$BB$40,36,FALSE)</f>
        <v>88018</v>
      </c>
      <c r="AH5" s="444">
        <f>HLOOKUP($Y$2,Populiacija!$B$1:$BB$40,37,FALSE)</f>
        <v>84213</v>
      </c>
      <c r="AI5" s="444">
        <f>HLOOKUP($Y$2,Populiacija!$B$1:$BB$40,38,FALSE)</f>
        <v>81014</v>
      </c>
      <c r="AJ5" s="444">
        <f>HLOOKUP($Y$2,Populiacija!$B$1:$BB$40,39,FALSE)</f>
        <v>61046</v>
      </c>
      <c r="AK5" s="444">
        <f>HLOOKUP($Y$2,Populiacija!$B$1:$BB$40,40,FALSE)</f>
        <v>49298</v>
      </c>
      <c r="AL5" s="445" t="s">
        <v>450</v>
      </c>
      <c r="AM5" s="443">
        <f>SUM(AN5:BE5)</f>
        <v>1566978</v>
      </c>
      <c r="AN5" s="446">
        <f>HLOOKUP($Y$2,Populiacija!$B$1:$BB$40,23,FALSE)</f>
        <v>73573</v>
      </c>
      <c r="AO5" s="446">
        <f>HLOOKUP($Y$2,Populiacija!$B$1:$BB$40,24,FALSE)</f>
        <v>68112</v>
      </c>
      <c r="AP5" s="446">
        <f>HLOOKUP($Y$2,Populiacija!$B$1:$BB$40,25,FALSE)</f>
        <v>65394</v>
      </c>
      <c r="AQ5" s="446">
        <f>HLOOKUP($Y$2,Populiacija!$B$1:$BB$40,26,FALSE)</f>
        <v>80822</v>
      </c>
      <c r="AR5" s="446">
        <f>HLOOKUP($Y$2,Populiacija!$B$1:$BB$40,27,FALSE)</f>
        <v>98060</v>
      </c>
      <c r="AS5" s="446">
        <f>HLOOKUP($Y$2,Populiacija!$B$1:$BB$40,28,FALSE)</f>
        <v>95144</v>
      </c>
      <c r="AT5" s="446">
        <f>HLOOKUP($Y$2,Populiacija!$B$1:$BB$40,29,FALSE)</f>
        <v>87782</v>
      </c>
      <c r="AU5" s="446">
        <f>HLOOKUP($Y$2,Populiacija!$B$1:$BB$40,30,FALSE)</f>
        <v>89193</v>
      </c>
      <c r="AV5" s="446">
        <f>HLOOKUP($Y$2,Populiacija!$B$1:$BB$40,31,FALSE)</f>
        <v>102361</v>
      </c>
      <c r="AW5" s="446">
        <f>HLOOKUP($Y$2,Populiacija!$B$1:$BB$40,32,FALSE)</f>
        <v>108831</v>
      </c>
      <c r="AX5" s="446">
        <f>HLOOKUP($Y$2,Populiacija!$B$1:$BB$40,33,FALSE)</f>
        <v>119456</v>
      </c>
      <c r="AY5" s="446">
        <f>HLOOKUP($Y$2,Populiacija!$B$1:$BB$40,34,FALSE)</f>
        <v>116878</v>
      </c>
      <c r="AZ5" s="446">
        <f>HLOOKUP($Y$2,Populiacija!$B$1:$BB$40,35,FALSE)</f>
        <v>97783</v>
      </c>
      <c r="BA5" s="446">
        <f>HLOOKUP($Y$2,Populiacija!$B$1:$BB$40,36,FALSE)</f>
        <v>88018</v>
      </c>
      <c r="BB5" s="446">
        <f>HLOOKUP($Y$2,Populiacija!$B$1:$BB$40,37,FALSE)</f>
        <v>84213</v>
      </c>
      <c r="BC5" s="446">
        <f>HLOOKUP($Y$2,Populiacija!$B$1:$BB$40,38,FALSE)</f>
        <v>81014</v>
      </c>
      <c r="BD5" s="446">
        <f>HLOOKUP($Y$2,Populiacija!$B$1:$BB$40,39,FALSE)</f>
        <v>61046</v>
      </c>
      <c r="BE5" s="446">
        <f>HLOOKUP($Y$2,Populiacija!$B$1:$BB$40,40,FALSE)</f>
        <v>49298</v>
      </c>
      <c r="BF5" s="392"/>
      <c r="BG5" s="392"/>
      <c r="BH5" s="392"/>
    </row>
    <row r="6" spans="1:60" ht="12.95" customHeight="1">
      <c r="A6" s="30"/>
      <c r="B6" s="549" t="s">
        <v>351</v>
      </c>
      <c r="C6" s="549" t="s">
        <v>244</v>
      </c>
      <c r="D6" s="551" t="s">
        <v>268</v>
      </c>
      <c r="E6" s="553" t="s">
        <v>355</v>
      </c>
      <c r="F6" s="531" t="s">
        <v>359</v>
      </c>
      <c r="G6" s="531"/>
      <c r="H6" s="58"/>
      <c r="I6" s="58"/>
      <c r="J6" s="58"/>
      <c r="K6" s="58"/>
      <c r="L6" s="58"/>
      <c r="M6" s="58"/>
      <c r="N6" s="58"/>
      <c r="O6" s="58"/>
      <c r="P6" s="58"/>
      <c r="Q6" s="327"/>
      <c r="R6" s="334" t="s">
        <v>451</v>
      </c>
      <c r="S6" s="443">
        <f>SUM(T6:AK6)</f>
        <v>2904910</v>
      </c>
      <c r="T6" s="447">
        <f>SUM(T4:T5)</f>
        <v>150984</v>
      </c>
      <c r="U6" s="447">
        <f t="shared" ref="U6:AK6" si="0">SUM(U4:U5)</f>
        <v>139381</v>
      </c>
      <c r="V6" s="447">
        <f t="shared" si="0"/>
        <v>134240</v>
      </c>
      <c r="W6" s="447">
        <f t="shared" si="0"/>
        <v>166270</v>
      </c>
      <c r="X6" s="447">
        <f t="shared" si="0"/>
        <v>201515</v>
      </c>
      <c r="Y6" s="447">
        <f t="shared" si="0"/>
        <v>195615</v>
      </c>
      <c r="Z6" s="447">
        <f t="shared" si="0"/>
        <v>178111</v>
      </c>
      <c r="AA6" s="447">
        <f t="shared" si="0"/>
        <v>176352</v>
      </c>
      <c r="AB6" s="447">
        <f t="shared" si="0"/>
        <v>197732</v>
      </c>
      <c r="AC6" s="447">
        <f t="shared" si="0"/>
        <v>207820</v>
      </c>
      <c r="AD6" s="447">
        <f t="shared" si="0"/>
        <v>225192</v>
      </c>
      <c r="AE6" s="447">
        <f t="shared" si="0"/>
        <v>213239</v>
      </c>
      <c r="AF6" s="447">
        <f t="shared" si="0"/>
        <v>170639</v>
      </c>
      <c r="AG6" s="447">
        <f t="shared" si="0"/>
        <v>145259</v>
      </c>
      <c r="AH6" s="447">
        <f t="shared" si="0"/>
        <v>131531</v>
      </c>
      <c r="AI6" s="447">
        <f t="shared" si="0"/>
        <v>120539</v>
      </c>
      <c r="AJ6" s="447">
        <f t="shared" si="0"/>
        <v>85932</v>
      </c>
      <c r="AK6" s="447">
        <f t="shared" si="0"/>
        <v>64559</v>
      </c>
      <c r="AL6" s="446" t="s">
        <v>451</v>
      </c>
      <c r="AM6" s="443">
        <f>SUM(AN6:BE6)</f>
        <v>2904910</v>
      </c>
      <c r="AN6" s="447">
        <f>SUM(AN4:AN5)</f>
        <v>150984</v>
      </c>
      <c r="AO6" s="447">
        <f t="shared" ref="AO6:BE6" si="1">SUM(AO4:AO5)</f>
        <v>139381</v>
      </c>
      <c r="AP6" s="447">
        <f t="shared" si="1"/>
        <v>134240</v>
      </c>
      <c r="AQ6" s="447">
        <f t="shared" si="1"/>
        <v>166270</v>
      </c>
      <c r="AR6" s="447">
        <f t="shared" si="1"/>
        <v>201515</v>
      </c>
      <c r="AS6" s="447">
        <f t="shared" si="1"/>
        <v>195615</v>
      </c>
      <c r="AT6" s="447">
        <f t="shared" si="1"/>
        <v>178111</v>
      </c>
      <c r="AU6" s="447">
        <f t="shared" si="1"/>
        <v>176352</v>
      </c>
      <c r="AV6" s="447">
        <f t="shared" si="1"/>
        <v>197732</v>
      </c>
      <c r="AW6" s="447">
        <f t="shared" si="1"/>
        <v>207820</v>
      </c>
      <c r="AX6" s="447">
        <f t="shared" si="1"/>
        <v>225192</v>
      </c>
      <c r="AY6" s="447">
        <f t="shared" si="1"/>
        <v>213239</v>
      </c>
      <c r="AZ6" s="447">
        <f t="shared" si="1"/>
        <v>170639</v>
      </c>
      <c r="BA6" s="447">
        <f t="shared" si="1"/>
        <v>145259</v>
      </c>
      <c r="BB6" s="447">
        <f t="shared" si="1"/>
        <v>131531</v>
      </c>
      <c r="BC6" s="447">
        <f t="shared" si="1"/>
        <v>120539</v>
      </c>
      <c r="BD6" s="447">
        <f t="shared" si="1"/>
        <v>85932</v>
      </c>
      <c r="BE6" s="447">
        <f t="shared" si="1"/>
        <v>64559</v>
      </c>
      <c r="BF6" s="392"/>
      <c r="BG6" s="392"/>
      <c r="BH6" s="392"/>
    </row>
    <row r="7" spans="1:60" ht="12.95" customHeight="1" thickBot="1">
      <c r="A7" s="30"/>
      <c r="B7" s="550"/>
      <c r="C7" s="550"/>
      <c r="D7" s="552"/>
      <c r="E7" s="554"/>
      <c r="F7" s="144" t="s">
        <v>425</v>
      </c>
      <c r="G7" s="144" t="s">
        <v>426</v>
      </c>
      <c r="H7" s="59"/>
      <c r="I7" s="59"/>
      <c r="J7" s="59"/>
      <c r="K7" s="59"/>
      <c r="L7" s="59"/>
      <c r="M7" s="59"/>
      <c r="N7" s="59"/>
      <c r="O7" s="59"/>
      <c r="P7" s="60"/>
      <c r="Q7" s="329"/>
      <c r="R7" s="334" t="s">
        <v>352</v>
      </c>
      <c r="S7" s="448"/>
      <c r="T7" s="449" t="s">
        <v>13</v>
      </c>
      <c r="U7" s="450" t="s">
        <v>11</v>
      </c>
      <c r="V7" s="450" t="s">
        <v>12</v>
      </c>
      <c r="W7" s="449" t="s">
        <v>14</v>
      </c>
      <c r="X7" s="449" t="s">
        <v>15</v>
      </c>
      <c r="Y7" s="449" t="s">
        <v>16</v>
      </c>
      <c r="Z7" s="449" t="s">
        <v>158</v>
      </c>
      <c r="AA7" s="449" t="s">
        <v>17</v>
      </c>
      <c r="AB7" s="449" t="s">
        <v>18</v>
      </c>
      <c r="AC7" s="449" t="s">
        <v>19</v>
      </c>
      <c r="AD7" s="449" t="s">
        <v>20</v>
      </c>
      <c r="AE7" s="449" t="s">
        <v>21</v>
      </c>
      <c r="AF7" s="449" t="s">
        <v>159</v>
      </c>
      <c r="AG7" s="449" t="s">
        <v>160</v>
      </c>
      <c r="AH7" s="449" t="s">
        <v>161</v>
      </c>
      <c r="AI7" s="449" t="s">
        <v>162</v>
      </c>
      <c r="AJ7" s="449" t="s">
        <v>22</v>
      </c>
      <c r="AK7" s="449" t="s">
        <v>23</v>
      </c>
      <c r="AL7" s="446" t="s">
        <v>352</v>
      </c>
      <c r="AM7" s="448"/>
      <c r="AN7" s="449" t="s">
        <v>13</v>
      </c>
      <c r="AO7" s="450" t="s">
        <v>11</v>
      </c>
      <c r="AP7" s="450" t="s">
        <v>12</v>
      </c>
      <c r="AQ7" s="449" t="s">
        <v>14</v>
      </c>
      <c r="AR7" s="449" t="s">
        <v>15</v>
      </c>
      <c r="AS7" s="449" t="s">
        <v>16</v>
      </c>
      <c r="AT7" s="449" t="s">
        <v>158</v>
      </c>
      <c r="AU7" s="449" t="s">
        <v>17</v>
      </c>
      <c r="AV7" s="449" t="s">
        <v>18</v>
      </c>
      <c r="AW7" s="449" t="s">
        <v>19</v>
      </c>
      <c r="AX7" s="449" t="s">
        <v>20</v>
      </c>
      <c r="AY7" s="449" t="s">
        <v>21</v>
      </c>
      <c r="AZ7" s="449" t="s">
        <v>159</v>
      </c>
      <c r="BA7" s="449" t="s">
        <v>160</v>
      </c>
      <c r="BB7" s="449" t="s">
        <v>161</v>
      </c>
      <c r="BC7" s="449" t="s">
        <v>162</v>
      </c>
      <c r="BD7" s="449" t="s">
        <v>22</v>
      </c>
      <c r="BE7" s="449" t="s">
        <v>23</v>
      </c>
      <c r="BF7" s="392"/>
      <c r="BG7" s="392"/>
      <c r="BH7" s="392"/>
    </row>
    <row r="8" spans="1:60" ht="12" customHeight="1" thickTop="1">
      <c r="A8" s="30"/>
      <c r="B8" s="150" t="str">
        <f>UPPER(LEFT(TRIM(Data!B5),1)) &amp; MID(TRIM(Data!B5),2,50)</f>
        <v>Piktybiniai navikai</v>
      </c>
      <c r="C8" s="129" t="str">
        <f>Data!C5</f>
        <v>C00-C96</v>
      </c>
      <c r="D8" s="142">
        <f>Data!E5+Data!BR5</f>
        <v>8347</v>
      </c>
      <c r="E8" s="131">
        <f t="shared" ref="E8:E48" si="2">D8/$S$6*100000</f>
        <v>287.3410880199387</v>
      </c>
      <c r="F8" s="132">
        <f t="shared" ref="F8:F48" si="3">S8/$S$3</f>
        <v>186.81180618375157</v>
      </c>
      <c r="G8" s="133">
        <f>AM8/$AM$3</f>
        <v>126.76382746184686</v>
      </c>
      <c r="H8" s="59"/>
      <c r="I8" s="59"/>
      <c r="J8" s="59"/>
      <c r="K8" s="59"/>
      <c r="L8" s="59"/>
      <c r="M8" s="59"/>
      <c r="N8" s="59"/>
      <c r="O8" s="59"/>
      <c r="P8" s="60"/>
      <c r="Q8" s="332"/>
      <c r="R8" s="338" t="s">
        <v>353</v>
      </c>
      <c r="S8" s="443">
        <f t="shared" ref="S8:S55" si="4">SUM(T8:AK8)</f>
        <v>18681180.618375156</v>
      </c>
      <c r="T8" s="443">
        <f>(Data!AN5+Data!DA5)/T$6*100000*T$3</f>
        <v>37090.022783871143</v>
      </c>
      <c r="U8" s="443">
        <f>(Data!AO5+Data!DB5)/U$6*100000*U$3</f>
        <v>10044.410644205451</v>
      </c>
      <c r="V8" s="443">
        <f>(Data!AP5+Data!DC5)/V$6*100000*V$3</f>
        <v>20858.164481525626</v>
      </c>
      <c r="W8" s="443">
        <f>(Data!AQ5+Data!DD5)/W$6*100000*W$3</f>
        <v>21050.099236182115</v>
      </c>
      <c r="X8" s="443">
        <f>(Data!AR5+Data!DE5)/X$6*100000*X$3</f>
        <v>20842.120933925515</v>
      </c>
      <c r="Y8" s="443">
        <f>(Data!AS5+Data!DF5)/Y$6*100000*Y$3</f>
        <v>35784.576847378776</v>
      </c>
      <c r="Z8" s="443">
        <f>(Data!AT5+Data!DG5)/Z$6*100000*Z$3</f>
        <v>113973.8702269933</v>
      </c>
      <c r="AA8" s="443">
        <f>(Data!AU5+Data!DH5)/AA$6*100000*AA$3</f>
        <v>226252.04137180184</v>
      </c>
      <c r="AB8" s="443">
        <f>(Data!AV5+Data!DI5)/AB$6*100000*AB$3</f>
        <v>488540.04410009505</v>
      </c>
      <c r="AC8" s="443">
        <f>(Data!AW5+Data!DJ5)/AC$6*100000*AC$3</f>
        <v>714079.49186796264</v>
      </c>
      <c r="AD8" s="443">
        <f>(Data!AX5+Data!DK5)/AD$6*100000*AD$3</f>
        <v>1520036.235745497</v>
      </c>
      <c r="AE8" s="443">
        <f>(Data!AY5+Data!DL5)/AE$6*100000*AE$3</f>
        <v>1989317.1511777863</v>
      </c>
      <c r="AF8" s="443">
        <f>(Data!AZ5+Data!DM5)/AF$6*100000*AF$3</f>
        <v>2681098.6937335543</v>
      </c>
      <c r="AG8" s="443">
        <f>(Data!BA5+Data!DN5)/AG$6*100000*AG$3</f>
        <v>3026318.5069427714</v>
      </c>
      <c r="AH8" s="443">
        <f>(Data!BB5+Data!DO5)/AH$6*100000*AH$3</f>
        <v>2705065.7259505368</v>
      </c>
      <c r="AI8" s="443">
        <f>(Data!BC5+Data!DP5)/AI$6*100000*AI$3</f>
        <v>2200117.8041961524</v>
      </c>
      <c r="AJ8" s="443">
        <f>(Data!BD5+Data!DQ5)/AJ$6*100000*AJ$3</f>
        <v>1411581.2502909277</v>
      </c>
      <c r="AK8" s="443">
        <f>(Data!BE5+Data!DR5)/AK$6*100000*AK$3</f>
        <v>1459130.4078439877</v>
      </c>
      <c r="AL8" s="451" t="s">
        <v>353</v>
      </c>
      <c r="AM8" s="443">
        <f t="shared" ref="AM8:AM55" si="5">SUM(AN8:BE8)</f>
        <v>12676382.746184686</v>
      </c>
      <c r="AN8" s="443">
        <f>(Data!AN5+Data!DA5)/AN$6*100000*AN$3</f>
        <v>55635.034175806715</v>
      </c>
      <c r="AO8" s="443">
        <f>(Data!AO5+Data!DB5)/AO$6*100000*AO$3</f>
        <v>14349.158063150644</v>
      </c>
      <c r="AP8" s="443">
        <f>(Data!AP5+Data!DC5)/AP$6*100000*AP$3</f>
        <v>26817.640047675803</v>
      </c>
      <c r="AQ8" s="443">
        <f>(Data!AQ5+Data!DD5)/AQ$6*100000*AQ$3</f>
        <v>27064.413303662717</v>
      </c>
      <c r="AR8" s="443">
        <f>(Data!AR5+Data!DE5)/AR$6*100000*AR$3</f>
        <v>23819.566781629161</v>
      </c>
      <c r="AS8" s="443">
        <f>(Data!AS5+Data!DF5)/AS$6*100000*AS$3</f>
        <v>40896.659254147176</v>
      </c>
      <c r="AT8" s="443">
        <f>(Data!AT5+Data!DG5)/AT$6*100000*AT$3</f>
        <v>97691.888765994256</v>
      </c>
      <c r="AU8" s="443">
        <f>(Data!AU5+Data!DH5)/AU$6*100000*AU$3</f>
        <v>193930.32117583015</v>
      </c>
      <c r="AV8" s="443">
        <f>(Data!AV5+Data!DI5)/AV$6*100000*AV$3</f>
        <v>418748.6092286529</v>
      </c>
      <c r="AW8" s="443">
        <f>(Data!AW5+Data!DJ5)/AW$6*100000*AW$3</f>
        <v>612068.13588682516</v>
      </c>
      <c r="AX8" s="443">
        <f>(Data!AX5+Data!DK5)/AX$6*100000*AX$3</f>
        <v>1085740.1683896407</v>
      </c>
      <c r="AY8" s="443">
        <f>(Data!AY5+Data!DL5)/AY$6*100000*AY$3</f>
        <v>1326211.4341185242</v>
      </c>
      <c r="AZ8" s="443">
        <f>(Data!AZ5+Data!DM5)/AZ$6*100000*AZ$3</f>
        <v>2144878.9549868433</v>
      </c>
      <c r="BA8" s="443">
        <f>(Data!BA5+Data!DN5)/BA$6*100000*BA$3</f>
        <v>2269738.8802070785</v>
      </c>
      <c r="BB8" s="443">
        <f>(Data!BB5+Data!DO5)/BB$6*100000*BB$3</f>
        <v>1803377.1506336911</v>
      </c>
      <c r="BC8" s="443">
        <f>(Data!BC5+Data!DP5)/BC$6*100000*BC$3</f>
        <v>1100058.9020980762</v>
      </c>
      <c r="BD8" s="443">
        <f>(Data!BD5+Data!DQ5)/BD$6*100000*BD$3</f>
        <v>705790.62514546386</v>
      </c>
      <c r="BE8" s="443">
        <f>(Data!BE5+Data!DR5)/BE$6*100000*BE$3</f>
        <v>729565.20392199385</v>
      </c>
      <c r="BF8" s="392"/>
      <c r="BG8" s="392"/>
      <c r="BH8" s="392"/>
    </row>
    <row r="9" spans="1:60" ht="12" customHeight="1">
      <c r="A9" s="30"/>
      <c r="B9" s="150" t="str">
        <f>UPPER(LEFT(TRIM(Data!B6),1)) &amp; MID(TRIM(Data!B6),2,50)</f>
        <v>Lūpos</v>
      </c>
      <c r="C9" s="129" t="str">
        <f>Data!C6</f>
        <v>C00</v>
      </c>
      <c r="D9" s="142">
        <f>Data!E6+Data!BR6</f>
        <v>7</v>
      </c>
      <c r="E9" s="131">
        <f t="shared" ref="E9:E46" si="6">D9/$S$6*100000</f>
        <v>0.24097132097035709</v>
      </c>
      <c r="F9" s="132">
        <f t="shared" ref="F9:F46" si="7">S9/$S$3</f>
        <v>0.11150736211049465</v>
      </c>
      <c r="G9" s="133">
        <f t="shared" ref="G9:G46" si="8">AM9/$AM$3</f>
        <v>6.3356451504799141E-2</v>
      </c>
      <c r="H9" s="59"/>
      <c r="I9" s="59"/>
      <c r="J9" s="59"/>
      <c r="K9" s="59"/>
      <c r="L9" s="59"/>
      <c r="M9" s="59"/>
      <c r="N9" s="59"/>
      <c r="O9" s="59"/>
      <c r="P9" s="60"/>
      <c r="Q9" s="332"/>
      <c r="R9" s="338" t="s">
        <v>353</v>
      </c>
      <c r="S9" s="443">
        <f t="shared" si="4"/>
        <v>11150.736211049465</v>
      </c>
      <c r="T9" s="443">
        <f>(Data!AN6+Data!DA6)/T$6*100000*T$3</f>
        <v>0</v>
      </c>
      <c r="U9" s="443">
        <f>(Data!AO6+Data!DB6)/U$6*100000*U$3</f>
        <v>0</v>
      </c>
      <c r="V9" s="443">
        <f>(Data!AP6+Data!DC6)/V$6*100000*V$3</f>
        <v>0</v>
      </c>
      <c r="W9" s="443">
        <f>(Data!AQ6+Data!DD6)/W$6*100000*W$3</f>
        <v>0</v>
      </c>
      <c r="X9" s="443">
        <f>(Data!AR6+Data!DE6)/X$6*100000*X$3</f>
        <v>0</v>
      </c>
      <c r="Y9" s="443">
        <f>(Data!AS6+Data!DF6)/Y$6*100000*Y$3</f>
        <v>0</v>
      </c>
      <c r="Z9" s="443">
        <f>(Data!AT6+Data!DG6)/Z$6*100000*Z$3</f>
        <v>0</v>
      </c>
      <c r="AA9" s="443">
        <f>(Data!AU6+Data!DH6)/AA$6*100000*AA$3</f>
        <v>0</v>
      </c>
      <c r="AB9" s="443">
        <f>(Data!AV6+Data!DI6)/AB$6*100000*AB$3</f>
        <v>0</v>
      </c>
      <c r="AC9" s="443">
        <f>(Data!AW6+Data!DJ6)/AC$6*100000*AC$3</f>
        <v>0</v>
      </c>
      <c r="AD9" s="443">
        <f>(Data!AX6+Data!DK6)/AD$6*100000*AD$3</f>
        <v>0</v>
      </c>
      <c r="AE9" s="443">
        <f>(Data!AY6+Data!DL6)/AE$6*100000*AE$3</f>
        <v>0</v>
      </c>
      <c r="AF9" s="443">
        <f>(Data!AZ6+Data!DM6)/AF$6*100000*AF$3</f>
        <v>0</v>
      </c>
      <c r="AG9" s="443">
        <f>(Data!BA6+Data!DN6)/AG$6*100000*AG$3</f>
        <v>0</v>
      </c>
      <c r="AH9" s="443">
        <f>(Data!BB6+Data!DO6)/AH$6*100000*AH$3</f>
        <v>4561.6622697310904</v>
      </c>
      <c r="AI9" s="443">
        <f>(Data!BC6+Data!DP6)/AI$6*100000*AI$3</f>
        <v>0</v>
      </c>
      <c r="AJ9" s="443">
        <f>(Data!BD6+Data!DQ6)/AJ$6*100000*AJ$3</f>
        <v>3491.1325233905882</v>
      </c>
      <c r="AK9" s="443">
        <f>(Data!BE6+Data!DR6)/AK$6*100000*AK$3</f>
        <v>3097.9414179277869</v>
      </c>
      <c r="AL9" s="451" t="s">
        <v>353</v>
      </c>
      <c r="AM9" s="443">
        <f t="shared" si="5"/>
        <v>6335.6451504799143</v>
      </c>
      <c r="AN9" s="443">
        <f>(Data!AN6+Data!DA6)/AN$6*100000*AN$3</f>
        <v>0</v>
      </c>
      <c r="AO9" s="443">
        <f>(Data!AO6+Data!DB6)/AO$6*100000*AO$3</f>
        <v>0</v>
      </c>
      <c r="AP9" s="443">
        <f>(Data!AP6+Data!DC6)/AP$6*100000*AP$3</f>
        <v>0</v>
      </c>
      <c r="AQ9" s="443">
        <f>(Data!AQ6+Data!DD6)/AQ$6*100000*AQ$3</f>
        <v>0</v>
      </c>
      <c r="AR9" s="443">
        <f>(Data!AR6+Data!DE6)/AR$6*100000*AR$3</f>
        <v>0</v>
      </c>
      <c r="AS9" s="443">
        <f>(Data!AS6+Data!DF6)/AS$6*100000*AS$3</f>
        <v>0</v>
      </c>
      <c r="AT9" s="443">
        <f>(Data!AT6+Data!DG6)/AT$6*100000*AT$3</f>
        <v>0</v>
      </c>
      <c r="AU9" s="443">
        <f>(Data!AU6+Data!DH6)/AU$6*100000*AU$3</f>
        <v>0</v>
      </c>
      <c r="AV9" s="443">
        <f>(Data!AV6+Data!DI6)/AV$6*100000*AV$3</f>
        <v>0</v>
      </c>
      <c r="AW9" s="443">
        <f>(Data!AW6+Data!DJ6)/AW$6*100000*AW$3</f>
        <v>0</v>
      </c>
      <c r="AX9" s="443">
        <f>(Data!AX6+Data!DK6)/AX$6*100000*AX$3</f>
        <v>0</v>
      </c>
      <c r="AY9" s="443">
        <f>(Data!AY6+Data!DL6)/AY$6*100000*AY$3</f>
        <v>0</v>
      </c>
      <c r="AZ9" s="443">
        <f>(Data!AZ6+Data!DM6)/AZ$6*100000*AZ$3</f>
        <v>0</v>
      </c>
      <c r="BA9" s="443">
        <f>(Data!BA6+Data!DN6)/BA$6*100000*BA$3</f>
        <v>0</v>
      </c>
      <c r="BB9" s="443">
        <f>(Data!BB6+Data!DO6)/BB$6*100000*BB$3</f>
        <v>3041.1081798207265</v>
      </c>
      <c r="BC9" s="443">
        <f>(Data!BC6+Data!DP6)/BC$6*100000*BC$3</f>
        <v>0</v>
      </c>
      <c r="BD9" s="443">
        <f>(Data!BD6+Data!DQ6)/BD$6*100000*BD$3</f>
        <v>1745.5662616952941</v>
      </c>
      <c r="BE9" s="443">
        <f>(Data!BE6+Data!DR6)/BE$6*100000*BE$3</f>
        <v>1548.9707089638935</v>
      </c>
      <c r="BF9" s="392"/>
      <c r="BG9" s="392"/>
      <c r="BH9" s="392"/>
    </row>
    <row r="10" spans="1:60" ht="12" customHeight="1">
      <c r="A10" s="30"/>
      <c r="B10" s="150" t="str">
        <f>UPPER(LEFT(TRIM(Data!B7),1)) &amp; MID(TRIM(Data!B7),2,50)</f>
        <v>Burnos ertmės ir ryklės</v>
      </c>
      <c r="C10" s="129" t="str">
        <f>Data!C7</f>
        <v>C01-C14</v>
      </c>
      <c r="D10" s="142">
        <f>Data!E7+Data!BR7</f>
        <v>289</v>
      </c>
      <c r="E10" s="131">
        <f t="shared" si="6"/>
        <v>9.9486731086333151</v>
      </c>
      <c r="F10" s="132">
        <f t="shared" si="7"/>
        <v>7.9262933206667316</v>
      </c>
      <c r="G10" s="133">
        <f t="shared" si="8"/>
        <v>5.7726891271352034</v>
      </c>
      <c r="H10" s="59"/>
      <c r="I10" s="59"/>
      <c r="J10" s="59"/>
      <c r="K10" s="59"/>
      <c r="L10" s="59"/>
      <c r="M10" s="59"/>
      <c r="N10" s="59"/>
      <c r="O10" s="59"/>
      <c r="P10" s="60"/>
      <c r="Q10" s="317"/>
      <c r="R10" s="338" t="s">
        <v>353</v>
      </c>
      <c r="S10" s="443">
        <f t="shared" si="4"/>
        <v>792629.3320666732</v>
      </c>
      <c r="T10" s="443">
        <f>(Data!AN7+Data!DA7)/T$6*100000*T$3</f>
        <v>0</v>
      </c>
      <c r="U10" s="443">
        <f>(Data!AO7+Data!DB7)/U$6*100000*U$3</f>
        <v>0</v>
      </c>
      <c r="V10" s="443">
        <f>(Data!AP7+Data!DC7)/V$6*100000*V$3</f>
        <v>0</v>
      </c>
      <c r="W10" s="443">
        <f>(Data!AQ7+Data!DD7)/W$6*100000*W$3</f>
        <v>0</v>
      </c>
      <c r="X10" s="443">
        <f>(Data!AR7+Data!DE7)/X$6*100000*X$3</f>
        <v>0</v>
      </c>
      <c r="Y10" s="443">
        <f>(Data!AS7+Data!DF7)/Y$6*100000*Y$3</f>
        <v>0</v>
      </c>
      <c r="Z10" s="443">
        <f>(Data!AT7+Data!DG7)/Z$6*100000*Z$3</f>
        <v>0</v>
      </c>
      <c r="AA10" s="443">
        <f>(Data!AU7+Data!DH7)/AA$6*100000*AA$3</f>
        <v>7938.6681183088376</v>
      </c>
      <c r="AB10" s="443">
        <f>(Data!AV7+Data!DI7)/AB$6*100000*AB$3</f>
        <v>53102.178706532075</v>
      </c>
      <c r="AC10" s="443">
        <f>(Data!AW7+Data!DJ7)/AC$6*100000*AC$3</f>
        <v>63997.690308921185</v>
      </c>
      <c r="AD10" s="443">
        <f>(Data!AX7+Data!DK7)/AD$6*100000*AD$3</f>
        <v>142989.09375111017</v>
      </c>
      <c r="AE10" s="443">
        <f>(Data!AY7+Data!DL7)/AE$6*100000*AE$3</f>
        <v>160383.41954332931</v>
      </c>
      <c r="AF10" s="443">
        <f>(Data!AZ7+Data!DM7)/AF$6*100000*AF$3</f>
        <v>140647.80032700615</v>
      </c>
      <c r="AG10" s="443">
        <f>(Data!BA7+Data!DN7)/AG$6*100000*AG$3</f>
        <v>107394.37831735039</v>
      </c>
      <c r="AH10" s="443">
        <f>(Data!BB7+Data!DO7)/AH$6*100000*AH$3</f>
        <v>59301.609506504166</v>
      </c>
      <c r="AI10" s="443">
        <f>(Data!BC7+Data!DP7)/AI$6*100000*AI$3</f>
        <v>28206.638515335289</v>
      </c>
      <c r="AJ10" s="443">
        <f>(Data!BD7+Data!DQ7)/AJ$6*100000*AJ$3</f>
        <v>6982.2650467811764</v>
      </c>
      <c r="AK10" s="443">
        <f>(Data!BE7+Data!DR7)/AK$6*100000*AK$3</f>
        <v>21685.589925494507</v>
      </c>
      <c r="AL10" s="451" t="s">
        <v>353</v>
      </c>
      <c r="AM10" s="443">
        <f t="shared" si="5"/>
        <v>577268.91271352035</v>
      </c>
      <c r="AN10" s="443">
        <f>(Data!AN7+Data!DA7)/AN$6*100000*AN$3</f>
        <v>0</v>
      </c>
      <c r="AO10" s="443">
        <f>(Data!AO7+Data!DB7)/AO$6*100000*AO$3</f>
        <v>0</v>
      </c>
      <c r="AP10" s="443">
        <f>(Data!AP7+Data!DC7)/AP$6*100000*AP$3</f>
        <v>0</v>
      </c>
      <c r="AQ10" s="443">
        <f>(Data!AQ7+Data!DD7)/AQ$6*100000*AQ$3</f>
        <v>0</v>
      </c>
      <c r="AR10" s="443">
        <f>(Data!AR7+Data!DE7)/AR$6*100000*AR$3</f>
        <v>0</v>
      </c>
      <c r="AS10" s="443">
        <f>(Data!AS7+Data!DF7)/AS$6*100000*AS$3</f>
        <v>0</v>
      </c>
      <c r="AT10" s="443">
        <f>(Data!AT7+Data!DG7)/AT$6*100000*AT$3</f>
        <v>0</v>
      </c>
      <c r="AU10" s="443">
        <f>(Data!AU7+Data!DH7)/AU$6*100000*AU$3</f>
        <v>6804.572672836146</v>
      </c>
      <c r="AV10" s="443">
        <f>(Data!AV7+Data!DI7)/AV$6*100000*AV$3</f>
        <v>45516.153177027489</v>
      </c>
      <c r="AW10" s="443">
        <f>(Data!AW7+Data!DJ7)/AW$6*100000*AW$3</f>
        <v>54855.163121932441</v>
      </c>
      <c r="AX10" s="443">
        <f>(Data!AX7+Data!DK7)/AX$6*100000*AX$3</f>
        <v>102135.06696507869</v>
      </c>
      <c r="AY10" s="443">
        <f>(Data!AY7+Data!DL7)/AY$6*100000*AY$3</f>
        <v>106922.27969555288</v>
      </c>
      <c r="AZ10" s="443">
        <f>(Data!AZ7+Data!DM7)/AZ$6*100000*AZ$3</f>
        <v>112518.24026160492</v>
      </c>
      <c r="BA10" s="443">
        <f>(Data!BA7+Data!DN7)/BA$6*100000*BA$3</f>
        <v>80545.783738012789</v>
      </c>
      <c r="BB10" s="443">
        <f>(Data!BB7+Data!DO7)/BB$6*100000*BB$3</f>
        <v>39534.406337669447</v>
      </c>
      <c r="BC10" s="443">
        <f>(Data!BC7+Data!DP7)/BC$6*100000*BC$3</f>
        <v>14103.319257667645</v>
      </c>
      <c r="BD10" s="443">
        <f>(Data!BD7+Data!DQ7)/BD$6*100000*BD$3</f>
        <v>3491.1325233905882</v>
      </c>
      <c r="BE10" s="443">
        <f>(Data!BE7+Data!DR7)/BE$6*100000*BE$3</f>
        <v>10842.794962747254</v>
      </c>
      <c r="BF10" s="392"/>
      <c r="BG10" s="392"/>
      <c r="BH10" s="392"/>
    </row>
    <row r="11" spans="1:60" ht="12" customHeight="1">
      <c r="A11" s="30"/>
      <c r="B11" s="150" t="str">
        <f>UPPER(LEFT(TRIM(Data!B8),1)) &amp; MID(TRIM(Data!B8),2,50)</f>
        <v>Stemplės</v>
      </c>
      <c r="C11" s="129" t="str">
        <f>Data!C8</f>
        <v>C15</v>
      </c>
      <c r="D11" s="142">
        <f>Data!E8+Data!BR8</f>
        <v>203</v>
      </c>
      <c r="E11" s="131">
        <f t="shared" si="6"/>
        <v>6.9881683081403549</v>
      </c>
      <c r="F11" s="132">
        <f t="shared" si="7"/>
        <v>5.0783690922404681</v>
      </c>
      <c r="G11" s="133">
        <f t="shared" si="8"/>
        <v>3.5971321104856213</v>
      </c>
      <c r="H11" s="59"/>
      <c r="I11" s="59"/>
      <c r="J11" s="59"/>
      <c r="K11" s="59"/>
      <c r="L11" s="59"/>
      <c r="M11" s="59"/>
      <c r="N11" s="59"/>
      <c r="O11" s="59"/>
      <c r="P11" s="60"/>
      <c r="Q11" s="317"/>
      <c r="R11" s="338" t="s">
        <v>353</v>
      </c>
      <c r="S11" s="443">
        <f t="shared" si="4"/>
        <v>507836.9092240468</v>
      </c>
      <c r="T11" s="443">
        <f>(Data!AN8+Data!DA8)/T$6*100000*T$3</f>
        <v>0</v>
      </c>
      <c r="U11" s="443">
        <f>(Data!AO8+Data!DB8)/U$6*100000*U$3</f>
        <v>0</v>
      </c>
      <c r="V11" s="443">
        <f>(Data!AP8+Data!DC8)/V$6*100000*V$3</f>
        <v>0</v>
      </c>
      <c r="W11" s="443">
        <f>(Data!AQ8+Data!DD8)/W$6*100000*W$3</f>
        <v>0</v>
      </c>
      <c r="X11" s="443">
        <f>(Data!AR8+Data!DE8)/X$6*100000*X$3</f>
        <v>0</v>
      </c>
      <c r="Y11" s="443">
        <f>(Data!AS8+Data!DF8)/Y$6*100000*Y$3</f>
        <v>0</v>
      </c>
      <c r="Z11" s="443">
        <f>(Data!AT8+Data!DG8)/Z$6*100000*Z$3</f>
        <v>0</v>
      </c>
      <c r="AA11" s="443">
        <f>(Data!AU8+Data!DH8)/AA$6*100000*AA$3</f>
        <v>0</v>
      </c>
      <c r="AB11" s="443">
        <f>(Data!AV8+Data!DI8)/AB$6*100000*AB$3</f>
        <v>14160.58098840855</v>
      </c>
      <c r="AC11" s="443">
        <f>(Data!AW8+Data!DJ8)/AC$6*100000*AC$3</f>
        <v>26946.395919545761</v>
      </c>
      <c r="AD11" s="443">
        <f>(Data!AX8+Data!DK8)/AD$6*100000*AD$3</f>
        <v>49735.336956907886</v>
      </c>
      <c r="AE11" s="443">
        <f>(Data!AY8+Data!DL8)/AE$6*100000*AE$3</f>
        <v>92853.558682980132</v>
      </c>
      <c r="AF11" s="443">
        <f>(Data!AZ8+Data!DM8)/AF$6*100000*AF$3</f>
        <v>96695.362724816718</v>
      </c>
      <c r="AG11" s="443">
        <f>(Data!BA8+Data!DN8)/AG$6*100000*AG$3</f>
        <v>107394.37831735039</v>
      </c>
      <c r="AH11" s="443">
        <f>(Data!BB8+Data!DO8)/AH$6*100000*AH$3</f>
        <v>54739.947236773078</v>
      </c>
      <c r="AI11" s="443">
        <f>(Data!BC8+Data!DP8)/AI$6*100000*AI$3</f>
        <v>26547.424485021445</v>
      </c>
      <c r="AJ11" s="443">
        <f>(Data!BD8+Data!DQ8)/AJ$6*100000*AJ$3</f>
        <v>23274.216822603918</v>
      </c>
      <c r="AK11" s="443">
        <f>(Data!BE8+Data!DR8)/AK$6*100000*AK$3</f>
        <v>15489.707089638936</v>
      </c>
      <c r="AL11" s="451" t="s">
        <v>353</v>
      </c>
      <c r="AM11" s="443">
        <f t="shared" si="5"/>
        <v>359713.21104856214</v>
      </c>
      <c r="AN11" s="443">
        <f>(Data!AN8+Data!DA8)/AN$6*100000*AN$3</f>
        <v>0</v>
      </c>
      <c r="AO11" s="443">
        <f>(Data!AO8+Data!DB8)/AO$6*100000*AO$3</f>
        <v>0</v>
      </c>
      <c r="AP11" s="443">
        <f>(Data!AP8+Data!DC8)/AP$6*100000*AP$3</f>
        <v>0</v>
      </c>
      <c r="AQ11" s="443">
        <f>(Data!AQ8+Data!DD8)/AQ$6*100000*AQ$3</f>
        <v>0</v>
      </c>
      <c r="AR11" s="443">
        <f>(Data!AR8+Data!DE8)/AR$6*100000*AR$3</f>
        <v>0</v>
      </c>
      <c r="AS11" s="443">
        <f>(Data!AS8+Data!DF8)/AS$6*100000*AS$3</f>
        <v>0</v>
      </c>
      <c r="AT11" s="443">
        <f>(Data!AT8+Data!DG8)/AT$6*100000*AT$3</f>
        <v>0</v>
      </c>
      <c r="AU11" s="443">
        <f>(Data!AU8+Data!DH8)/AU$6*100000*AU$3</f>
        <v>0</v>
      </c>
      <c r="AV11" s="443">
        <f>(Data!AV8+Data!DI8)/AV$6*100000*AV$3</f>
        <v>12137.640847207329</v>
      </c>
      <c r="AW11" s="443">
        <f>(Data!AW8+Data!DJ8)/AW$6*100000*AW$3</f>
        <v>23096.910788182078</v>
      </c>
      <c r="AX11" s="443">
        <f>(Data!AX8+Data!DK8)/AX$6*100000*AX$3</f>
        <v>35525.240683505632</v>
      </c>
      <c r="AY11" s="443">
        <f>(Data!AY8+Data!DL8)/AY$6*100000*AY$3</f>
        <v>61902.372455320081</v>
      </c>
      <c r="AZ11" s="443">
        <f>(Data!AZ8+Data!DM8)/AZ$6*100000*AZ$3</f>
        <v>77356.290179853371</v>
      </c>
      <c r="BA11" s="443">
        <f>(Data!BA8+Data!DN8)/BA$6*100000*BA$3</f>
        <v>80545.783738012789</v>
      </c>
      <c r="BB11" s="443">
        <f>(Data!BB8+Data!DO8)/BB$6*100000*BB$3</f>
        <v>36493.298157848723</v>
      </c>
      <c r="BC11" s="443">
        <f>(Data!BC8+Data!DP8)/BC$6*100000*BC$3</f>
        <v>13273.712242510723</v>
      </c>
      <c r="BD11" s="443">
        <f>(Data!BD8+Data!DQ8)/BD$6*100000*BD$3</f>
        <v>11637.108411301959</v>
      </c>
      <c r="BE11" s="443">
        <f>(Data!BE8+Data!DR8)/BE$6*100000*BE$3</f>
        <v>7744.853544819468</v>
      </c>
      <c r="BF11" s="392"/>
      <c r="BG11" s="392"/>
      <c r="BH11" s="392"/>
    </row>
    <row r="12" spans="1:60" ht="12" customHeight="1">
      <c r="A12" s="30"/>
      <c r="B12" s="150" t="str">
        <f>UPPER(LEFT(TRIM(Data!B9),1)) &amp; MID(TRIM(Data!B9),2,50)</f>
        <v>Skrandžio</v>
      </c>
      <c r="C12" s="129" t="str">
        <f>Data!C9</f>
        <v>C16</v>
      </c>
      <c r="D12" s="142">
        <f>Data!E9+Data!BR9</f>
        <v>681</v>
      </c>
      <c r="E12" s="131">
        <f t="shared" si="6"/>
        <v>23.443067082973311</v>
      </c>
      <c r="F12" s="132">
        <f t="shared" si="7"/>
        <v>14.977856979680073</v>
      </c>
      <c r="G12" s="133">
        <f t="shared" si="8"/>
        <v>10.046945634528184</v>
      </c>
      <c r="H12" s="59"/>
      <c r="I12" s="59"/>
      <c r="J12" s="59"/>
      <c r="K12" s="59"/>
      <c r="L12" s="59"/>
      <c r="M12" s="59"/>
      <c r="N12" s="59"/>
      <c r="O12" s="59"/>
      <c r="P12" s="60"/>
      <c r="Q12" s="317"/>
      <c r="R12" s="338" t="s">
        <v>353</v>
      </c>
      <c r="S12" s="443">
        <f t="shared" si="4"/>
        <v>1497785.6979680073</v>
      </c>
      <c r="T12" s="443">
        <f>(Data!AN9+Data!DA9)/T$6*100000*T$3</f>
        <v>0</v>
      </c>
      <c r="U12" s="443">
        <f>(Data!AO9+Data!DB9)/U$6*100000*U$3</f>
        <v>0</v>
      </c>
      <c r="V12" s="443">
        <f>(Data!AP9+Data!DC9)/V$6*100000*V$3</f>
        <v>0</v>
      </c>
      <c r="W12" s="443">
        <f>(Data!AQ9+Data!DD9)/W$6*100000*W$3</f>
        <v>0</v>
      </c>
      <c r="X12" s="443">
        <f>(Data!AR9+Data!DE9)/X$6*100000*X$3</f>
        <v>0</v>
      </c>
      <c r="Y12" s="443">
        <f>(Data!AS9+Data!DF9)/Y$6*100000*Y$3</f>
        <v>0</v>
      </c>
      <c r="Z12" s="443">
        <f>(Data!AT9+Data!DG9)/Z$6*100000*Z$3</f>
        <v>11790.400368309651</v>
      </c>
      <c r="AA12" s="443">
        <f>(Data!AU9+Data!DH9)/AA$6*100000*AA$3</f>
        <v>23816.00435492651</v>
      </c>
      <c r="AB12" s="443">
        <f>(Data!AV9+Data!DI9)/AB$6*100000*AB$3</f>
        <v>42481.742965225661</v>
      </c>
      <c r="AC12" s="443">
        <f>(Data!AW9+Data!DJ9)/AC$6*100000*AC$3</f>
        <v>70734.289288807617</v>
      </c>
      <c r="AD12" s="443">
        <f>(Data!AX9+Data!DK9)/AD$6*100000*AD$3</f>
        <v>139880.63519130342</v>
      </c>
      <c r="AE12" s="443">
        <f>(Data!AY9+Data!DL9)/AE$6*100000*AE$3</f>
        <v>129432.23331566929</v>
      </c>
      <c r="AF12" s="443">
        <f>(Data!AZ9+Data!DM9)/AF$6*100000*AF$3</f>
        <v>213901.86299732182</v>
      </c>
      <c r="AG12" s="443">
        <f>(Data!BA9+Data!DN9)/AG$6*100000*AG$3</f>
        <v>223049.86265911238</v>
      </c>
      <c r="AH12" s="443">
        <f>(Data!BB9+Data!DO9)/AH$6*100000*AH$3</f>
        <v>187028.15305897468</v>
      </c>
      <c r="AI12" s="443">
        <f>(Data!BC9+Data!DP9)/AI$6*100000*AI$3</f>
        <v>199105.68363766084</v>
      </c>
      <c r="AJ12" s="443">
        <f>(Data!BD9+Data!DQ9)/AJ$6*100000*AJ$3</f>
        <v>123353.34915980077</v>
      </c>
      <c r="AK12" s="443">
        <f>(Data!BE9+Data!DR9)/AK$6*100000*AK$3</f>
        <v>133211.48097089486</v>
      </c>
      <c r="AL12" s="451" t="s">
        <v>353</v>
      </c>
      <c r="AM12" s="443">
        <f t="shared" si="5"/>
        <v>1004694.5634528184</v>
      </c>
      <c r="AN12" s="443">
        <f>(Data!AN9+Data!DA9)/AN$6*100000*AN$3</f>
        <v>0</v>
      </c>
      <c r="AO12" s="443">
        <f>(Data!AO9+Data!DB9)/AO$6*100000*AO$3</f>
        <v>0</v>
      </c>
      <c r="AP12" s="443">
        <f>(Data!AP9+Data!DC9)/AP$6*100000*AP$3</f>
        <v>0</v>
      </c>
      <c r="AQ12" s="443">
        <f>(Data!AQ9+Data!DD9)/AQ$6*100000*AQ$3</f>
        <v>0</v>
      </c>
      <c r="AR12" s="443">
        <f>(Data!AR9+Data!DE9)/AR$6*100000*AR$3</f>
        <v>0</v>
      </c>
      <c r="AS12" s="443">
        <f>(Data!AS9+Data!DF9)/AS$6*100000*AS$3</f>
        <v>0</v>
      </c>
      <c r="AT12" s="443">
        <f>(Data!AT9+Data!DG9)/AT$6*100000*AT$3</f>
        <v>10106.057458551128</v>
      </c>
      <c r="AU12" s="443">
        <f>(Data!AU9+Data!DH9)/AU$6*100000*AU$3</f>
        <v>20413.71801850844</v>
      </c>
      <c r="AV12" s="443">
        <f>(Data!AV9+Data!DI9)/AV$6*100000*AV$3</f>
        <v>36412.922541621992</v>
      </c>
      <c r="AW12" s="443">
        <f>(Data!AW9+Data!DJ9)/AW$6*100000*AW$3</f>
        <v>60629.390818977961</v>
      </c>
      <c r="AX12" s="443">
        <f>(Data!AX9+Data!DK9)/AX$6*100000*AX$3</f>
        <v>99914.739422359577</v>
      </c>
      <c r="AY12" s="443">
        <f>(Data!AY9+Data!DL9)/AY$6*100000*AY$3</f>
        <v>86288.155543779518</v>
      </c>
      <c r="AZ12" s="443">
        <f>(Data!AZ9+Data!DM9)/AZ$6*100000*AZ$3</f>
        <v>171121.49039785744</v>
      </c>
      <c r="BA12" s="443">
        <f>(Data!BA9+Data!DN9)/BA$6*100000*BA$3</f>
        <v>167287.39699433427</v>
      </c>
      <c r="BB12" s="443">
        <f>(Data!BB9+Data!DO9)/BB$6*100000*BB$3</f>
        <v>124685.43537264979</v>
      </c>
      <c r="BC12" s="443">
        <f>(Data!BC9+Data!DP9)/BC$6*100000*BC$3</f>
        <v>99552.84181883042</v>
      </c>
      <c r="BD12" s="443">
        <f>(Data!BD9+Data!DQ9)/BD$6*100000*BD$3</f>
        <v>61676.674579900384</v>
      </c>
      <c r="BE12" s="443">
        <f>(Data!BE9+Data!DR9)/BE$6*100000*BE$3</f>
        <v>66605.74048544743</v>
      </c>
      <c r="BF12" s="392"/>
      <c r="BG12" s="392"/>
      <c r="BH12" s="392"/>
    </row>
    <row r="13" spans="1:60" ht="12" customHeight="1">
      <c r="A13" s="30"/>
      <c r="B13" s="150" t="str">
        <f>UPPER(LEFT(TRIM(Data!B10),1)) &amp; MID(TRIM(Data!B10),2,50)</f>
        <v>Gaubtinės žarnos</v>
      </c>
      <c r="C13" s="129" t="str">
        <f>Data!C10</f>
        <v>C18</v>
      </c>
      <c r="D13" s="142">
        <f>Data!E10+Data!BR10</f>
        <v>542</v>
      </c>
      <c r="E13" s="131">
        <f t="shared" si="6"/>
        <v>18.658065137990505</v>
      </c>
      <c r="F13" s="132">
        <f t="shared" si="7"/>
        <v>10.780357361776073</v>
      </c>
      <c r="G13" s="133">
        <f t="shared" si="8"/>
        <v>6.8260245332618013</v>
      </c>
      <c r="H13" s="59"/>
      <c r="I13" s="59"/>
      <c r="J13" s="59"/>
      <c r="K13" s="59"/>
      <c r="L13" s="59"/>
      <c r="M13" s="59"/>
      <c r="N13" s="59"/>
      <c r="O13" s="59"/>
      <c r="P13" s="60"/>
      <c r="Q13" s="317"/>
      <c r="R13" s="338" t="s">
        <v>353</v>
      </c>
      <c r="S13" s="443">
        <f t="shared" si="4"/>
        <v>1078035.7361776072</v>
      </c>
      <c r="T13" s="443">
        <f>(Data!AN10+Data!DA10)/T$6*100000*T$3</f>
        <v>0</v>
      </c>
      <c r="U13" s="443">
        <f>(Data!AO10+Data!DB10)/U$6*100000*U$3</f>
        <v>0</v>
      </c>
      <c r="V13" s="443">
        <f>(Data!AP10+Data!DC10)/V$6*100000*V$3</f>
        <v>0</v>
      </c>
      <c r="W13" s="443">
        <f>(Data!AQ10+Data!DD10)/W$6*100000*W$3</f>
        <v>0</v>
      </c>
      <c r="X13" s="443">
        <f>(Data!AR10+Data!DE10)/X$6*100000*X$3</f>
        <v>3473.6868223209194</v>
      </c>
      <c r="Y13" s="443">
        <f>(Data!AS10+Data!DF10)/Y$6*100000*Y$3</f>
        <v>0</v>
      </c>
      <c r="Z13" s="443">
        <f>(Data!AT10+Data!DG10)/Z$6*100000*Z$3</f>
        <v>0</v>
      </c>
      <c r="AA13" s="443">
        <f>(Data!AU10+Data!DH10)/AA$6*100000*AA$3</f>
        <v>3969.3340591544188</v>
      </c>
      <c r="AB13" s="443">
        <f>(Data!AV10+Data!DI10)/AB$6*100000*AB$3</f>
        <v>7080.2904942042751</v>
      </c>
      <c r="AC13" s="443">
        <f>(Data!AW10+Data!DJ10)/AC$6*100000*AC$3</f>
        <v>20209.796939659318</v>
      </c>
      <c r="AD13" s="443">
        <f>(Data!AX10+Data!DK10)/AD$6*100000*AD$3</f>
        <v>49735.336956907886</v>
      </c>
      <c r="AE13" s="443">
        <f>(Data!AY10+Data!DL10)/AE$6*100000*AE$3</f>
        <v>78784.837670407374</v>
      </c>
      <c r="AF13" s="443">
        <f>(Data!AZ10+Data!DM10)/AF$6*100000*AF$3</f>
        <v>82044.55019075358</v>
      </c>
      <c r="AG13" s="443">
        <f>(Data!BA10+Data!DN10)/AG$6*100000*AG$3</f>
        <v>187251.73655332887</v>
      </c>
      <c r="AH13" s="443">
        <f>(Data!BB10+Data!DO10)/AH$6*100000*AH$3</f>
        <v>209836.46440763015</v>
      </c>
      <c r="AI13" s="443">
        <f>(Data!BC10+Data!DP10)/AI$6*100000*AI$3</f>
        <v>177535.90124358091</v>
      </c>
      <c r="AJ13" s="443">
        <f>(Data!BD10+Data!DQ10)/AJ$6*100000*AJ$3</f>
        <v>123353.34915980077</v>
      </c>
      <c r="AK13" s="443">
        <f>(Data!BE10+Data!DR10)/AK$6*100000*AK$3</f>
        <v>134760.45167985873</v>
      </c>
      <c r="AL13" s="451" t="s">
        <v>353</v>
      </c>
      <c r="AM13" s="443">
        <f t="shared" si="5"/>
        <v>682602.45332618011</v>
      </c>
      <c r="AN13" s="443">
        <f>(Data!AN10+Data!DA10)/AN$6*100000*AN$3</f>
        <v>0</v>
      </c>
      <c r="AO13" s="443">
        <f>(Data!AO10+Data!DB10)/AO$6*100000*AO$3</f>
        <v>0</v>
      </c>
      <c r="AP13" s="443">
        <f>(Data!AP10+Data!DC10)/AP$6*100000*AP$3</f>
        <v>0</v>
      </c>
      <c r="AQ13" s="443">
        <f>(Data!AQ10+Data!DD10)/AQ$6*100000*AQ$3</f>
        <v>0</v>
      </c>
      <c r="AR13" s="443">
        <f>(Data!AR10+Data!DE10)/AR$6*100000*AR$3</f>
        <v>3969.9277969381933</v>
      </c>
      <c r="AS13" s="443">
        <f>(Data!AS10+Data!DF10)/AS$6*100000*AS$3</f>
        <v>0</v>
      </c>
      <c r="AT13" s="443">
        <f>(Data!AT10+Data!DG10)/AT$6*100000*AT$3</f>
        <v>0</v>
      </c>
      <c r="AU13" s="443">
        <f>(Data!AU10+Data!DH10)/AU$6*100000*AU$3</f>
        <v>3402.286336418073</v>
      </c>
      <c r="AV13" s="443">
        <f>(Data!AV10+Data!DI10)/AV$6*100000*AV$3</f>
        <v>6068.8204236036645</v>
      </c>
      <c r="AW13" s="443">
        <f>(Data!AW10+Data!DJ10)/AW$6*100000*AW$3</f>
        <v>17322.683091136558</v>
      </c>
      <c r="AX13" s="443">
        <f>(Data!AX10+Data!DK10)/AX$6*100000*AX$3</f>
        <v>35525.240683505632</v>
      </c>
      <c r="AY13" s="443">
        <f>(Data!AY10+Data!DL10)/AY$6*100000*AY$3</f>
        <v>52523.225113604916</v>
      </c>
      <c r="AZ13" s="443">
        <f>(Data!AZ10+Data!DM10)/AZ$6*100000*AZ$3</f>
        <v>65635.640152602864</v>
      </c>
      <c r="BA13" s="443">
        <f>(Data!BA10+Data!DN10)/BA$6*100000*BA$3</f>
        <v>140438.80241499664</v>
      </c>
      <c r="BB13" s="443">
        <f>(Data!BB10+Data!DO10)/BB$6*100000*BB$3</f>
        <v>139890.97627175343</v>
      </c>
      <c r="BC13" s="443">
        <f>(Data!BC10+Data!DP10)/BC$6*100000*BC$3</f>
        <v>88767.950621790456</v>
      </c>
      <c r="BD13" s="443">
        <f>(Data!BD10+Data!DQ10)/BD$6*100000*BD$3</f>
        <v>61676.674579900384</v>
      </c>
      <c r="BE13" s="443">
        <f>(Data!BE10+Data!DR10)/BE$6*100000*BE$3</f>
        <v>67380.225839929364</v>
      </c>
      <c r="BF13" s="392"/>
      <c r="BG13" s="392"/>
      <c r="BH13" s="392"/>
    </row>
    <row r="14" spans="1:60" ht="12" customHeight="1">
      <c r="A14" s="30"/>
      <c r="B14" s="150" t="str">
        <f>UPPER(LEFT(TRIM(Data!B11),1)) &amp; MID(TRIM(Data!B11),2,50)</f>
        <v>Tiesiosios žarnos, išangės</v>
      </c>
      <c r="C14" s="129" t="str">
        <f>Data!C11</f>
        <v>C19-C21</v>
      </c>
      <c r="D14" s="142">
        <f>Data!E11+Data!BR11</f>
        <v>440</v>
      </c>
      <c r="E14" s="131">
        <f t="shared" si="6"/>
        <v>15.14676874670816</v>
      </c>
      <c r="F14" s="132">
        <f t="shared" si="7"/>
        <v>9.3842751733374126</v>
      </c>
      <c r="G14" s="133">
        <f t="shared" si="8"/>
        <v>6.1840228620554987</v>
      </c>
      <c r="H14" s="59"/>
      <c r="I14" s="59"/>
      <c r="J14" s="59"/>
      <c r="K14" s="59"/>
      <c r="L14" s="59"/>
      <c r="M14" s="59"/>
      <c r="N14" s="59"/>
      <c r="O14" s="59"/>
      <c r="P14" s="60"/>
      <c r="Q14" s="317"/>
      <c r="R14" s="338" t="s">
        <v>353</v>
      </c>
      <c r="S14" s="443">
        <f t="shared" si="4"/>
        <v>938427.5173337413</v>
      </c>
      <c r="T14" s="443">
        <f>(Data!AN11+Data!DA11)/T$6*100000*T$3</f>
        <v>0</v>
      </c>
      <c r="U14" s="443">
        <f>(Data!AO11+Data!DB11)/U$6*100000*U$3</f>
        <v>0</v>
      </c>
      <c r="V14" s="443">
        <f>(Data!AP11+Data!DC11)/V$6*100000*V$3</f>
        <v>0</v>
      </c>
      <c r="W14" s="443">
        <f>(Data!AQ11+Data!DD11)/W$6*100000*W$3</f>
        <v>0</v>
      </c>
      <c r="X14" s="443">
        <f>(Data!AR11+Data!DE11)/X$6*100000*X$3</f>
        <v>0</v>
      </c>
      <c r="Y14" s="443">
        <f>(Data!AS11+Data!DF11)/Y$6*100000*Y$3</f>
        <v>0</v>
      </c>
      <c r="Z14" s="443">
        <f>(Data!AT11+Data!DG11)/Z$6*100000*Z$3</f>
        <v>3930.1334561032168</v>
      </c>
      <c r="AA14" s="443">
        <f>(Data!AU11+Data!DH11)/AA$6*100000*AA$3</f>
        <v>3969.3340591544188</v>
      </c>
      <c r="AB14" s="443">
        <f>(Data!AV11+Data!DI11)/AB$6*100000*AB$3</f>
        <v>10620.435741306415</v>
      </c>
      <c r="AC14" s="443">
        <f>(Data!AW11+Data!DJ11)/AC$6*100000*AC$3</f>
        <v>37051.29438937542</v>
      </c>
      <c r="AD14" s="443">
        <f>(Data!AX11+Data!DK11)/AD$6*100000*AD$3</f>
        <v>59060.712636328106</v>
      </c>
      <c r="AE14" s="443">
        <f>(Data!AY11+Data!DL11)/AE$6*100000*AE$3</f>
        <v>81598.581872921932</v>
      </c>
      <c r="AF14" s="443">
        <f>(Data!AZ11+Data!DM11)/AF$6*100000*AF$3</f>
        <v>164089.10038150716</v>
      </c>
      <c r="AG14" s="443">
        <f>(Data!BA11+Data!DN11)/AG$6*100000*AG$3</f>
        <v>121162.88835803635</v>
      </c>
      <c r="AH14" s="443">
        <f>(Data!BB11+Data!DO11)/AH$6*100000*AH$3</f>
        <v>141411.53036166378</v>
      </c>
      <c r="AI14" s="443">
        <f>(Data!BC11+Data!DP11)/AI$6*100000*AI$3</f>
        <v>142692.40660699029</v>
      </c>
      <c r="AJ14" s="443">
        <f>(Data!BD11+Data!DQ11)/AJ$6*100000*AJ$3</f>
        <v>76804.91551459294</v>
      </c>
      <c r="AK14" s="443">
        <f>(Data!BE11+Data!DR11)/AK$6*100000*AK$3</f>
        <v>96036.183955761386</v>
      </c>
      <c r="AL14" s="451" t="s">
        <v>353</v>
      </c>
      <c r="AM14" s="443">
        <f t="shared" si="5"/>
        <v>618402.28620554984</v>
      </c>
      <c r="AN14" s="443">
        <f>(Data!AN11+Data!DA11)/AN$6*100000*AN$3</f>
        <v>0</v>
      </c>
      <c r="AO14" s="443">
        <f>(Data!AO11+Data!DB11)/AO$6*100000*AO$3</f>
        <v>0</v>
      </c>
      <c r="AP14" s="443">
        <f>(Data!AP11+Data!DC11)/AP$6*100000*AP$3</f>
        <v>0</v>
      </c>
      <c r="AQ14" s="443">
        <f>(Data!AQ11+Data!DD11)/AQ$6*100000*AQ$3</f>
        <v>0</v>
      </c>
      <c r="AR14" s="443">
        <f>(Data!AR11+Data!DE11)/AR$6*100000*AR$3</f>
        <v>0</v>
      </c>
      <c r="AS14" s="443">
        <f>(Data!AS11+Data!DF11)/AS$6*100000*AS$3</f>
        <v>0</v>
      </c>
      <c r="AT14" s="443">
        <f>(Data!AT11+Data!DG11)/AT$6*100000*AT$3</f>
        <v>3368.685819517043</v>
      </c>
      <c r="AU14" s="443">
        <f>(Data!AU11+Data!DH11)/AU$6*100000*AU$3</f>
        <v>3402.286336418073</v>
      </c>
      <c r="AV14" s="443">
        <f>(Data!AV11+Data!DI11)/AV$6*100000*AV$3</f>
        <v>9103.2306354054981</v>
      </c>
      <c r="AW14" s="443">
        <f>(Data!AW11+Data!DJ11)/AW$6*100000*AW$3</f>
        <v>31758.252333750359</v>
      </c>
      <c r="AX14" s="443">
        <f>(Data!AX11+Data!DK11)/AX$6*100000*AX$3</f>
        <v>42186.223311662936</v>
      </c>
      <c r="AY14" s="443">
        <f>(Data!AY11+Data!DL11)/AY$6*100000*AY$3</f>
        <v>54399.054581947952</v>
      </c>
      <c r="AZ14" s="443">
        <f>(Data!AZ11+Data!DM11)/AZ$6*100000*AZ$3</f>
        <v>131271.28030520573</v>
      </c>
      <c r="BA14" s="443">
        <f>(Data!BA11+Data!DN11)/BA$6*100000*BA$3</f>
        <v>90872.16626852726</v>
      </c>
      <c r="BB14" s="443">
        <f>(Data!BB11+Data!DO11)/BB$6*100000*BB$3</f>
        <v>94274.353574442532</v>
      </c>
      <c r="BC14" s="443">
        <f>(Data!BC11+Data!DP11)/BC$6*100000*BC$3</f>
        <v>71346.203303495146</v>
      </c>
      <c r="BD14" s="443">
        <f>(Data!BD11+Data!DQ11)/BD$6*100000*BD$3</f>
        <v>38402.45775729647</v>
      </c>
      <c r="BE14" s="443">
        <f>(Data!BE11+Data!DR11)/BE$6*100000*BE$3</f>
        <v>48018.091977880693</v>
      </c>
      <c r="BF14" s="392"/>
      <c r="BG14" s="392"/>
      <c r="BH14" s="392"/>
    </row>
    <row r="15" spans="1:60" ht="12" customHeight="1">
      <c r="A15" s="30"/>
      <c r="B15" s="150" t="str">
        <f>UPPER(LEFT(TRIM(Data!B12),1)) &amp; MID(TRIM(Data!B12),2,50)</f>
        <v>Kepenų</v>
      </c>
      <c r="C15" s="129" t="str">
        <f>Data!C12</f>
        <v>C22</v>
      </c>
      <c r="D15" s="142">
        <f>Data!E12+Data!BR12</f>
        <v>210</v>
      </c>
      <c r="E15" s="131">
        <f t="shared" si="6"/>
        <v>7.2291396291107128</v>
      </c>
      <c r="F15" s="132">
        <f t="shared" si="7"/>
        <v>4.7825855493662237</v>
      </c>
      <c r="G15" s="133">
        <f t="shared" si="8"/>
        <v>3.2314972958214634</v>
      </c>
      <c r="H15" s="59"/>
      <c r="I15" s="59"/>
      <c r="J15" s="59"/>
      <c r="K15" s="59"/>
      <c r="L15" s="59"/>
      <c r="M15" s="59"/>
      <c r="N15" s="59"/>
      <c r="O15" s="59"/>
      <c r="P15" s="60"/>
      <c r="Q15" s="317"/>
      <c r="R15" s="338" t="s">
        <v>353</v>
      </c>
      <c r="S15" s="443">
        <f t="shared" si="4"/>
        <v>478258.55493662233</v>
      </c>
      <c r="T15" s="443">
        <f>(Data!AN12+Data!DA12)/T$6*100000*T$3</f>
        <v>0</v>
      </c>
      <c r="U15" s="443">
        <f>(Data!AO12+Data!DB12)/U$6*100000*U$3</f>
        <v>0</v>
      </c>
      <c r="V15" s="443">
        <f>(Data!AP12+Data!DC12)/V$6*100000*V$3</f>
        <v>0</v>
      </c>
      <c r="W15" s="443">
        <f>(Data!AQ12+Data!DD12)/W$6*100000*W$3</f>
        <v>0</v>
      </c>
      <c r="X15" s="443">
        <f>(Data!AR12+Data!DE12)/X$6*100000*X$3</f>
        <v>0</v>
      </c>
      <c r="Y15" s="443">
        <f>(Data!AS12+Data!DF12)/Y$6*100000*Y$3</f>
        <v>0</v>
      </c>
      <c r="Z15" s="443">
        <f>(Data!AT12+Data!DG12)/Z$6*100000*Z$3</f>
        <v>7860.2669122064335</v>
      </c>
      <c r="AA15" s="443">
        <f>(Data!AU12+Data!DH12)/AA$6*100000*AA$3</f>
        <v>0</v>
      </c>
      <c r="AB15" s="443">
        <f>(Data!AV12+Data!DI12)/AB$6*100000*AB$3</f>
        <v>10620.435741306415</v>
      </c>
      <c r="AC15" s="443">
        <f>(Data!AW12+Data!DJ12)/AC$6*100000*AC$3</f>
        <v>6736.5989798864402</v>
      </c>
      <c r="AD15" s="443">
        <f>(Data!AX12+Data!DK12)/AD$6*100000*AD$3</f>
        <v>59060.712636328106</v>
      </c>
      <c r="AE15" s="443">
        <f>(Data!AY12+Data!DL12)/AE$6*100000*AE$3</f>
        <v>47833.651442747338</v>
      </c>
      <c r="AF15" s="443">
        <f>(Data!AZ12+Data!DM12)/AF$6*100000*AF$3</f>
        <v>64463.575149877805</v>
      </c>
      <c r="AG15" s="443">
        <f>(Data!BA12+Data!DN12)/AG$6*100000*AG$3</f>
        <v>99133.272292938811</v>
      </c>
      <c r="AH15" s="443">
        <f>(Data!BB12+Data!DO12)/AH$6*100000*AH$3</f>
        <v>61582.440641369714</v>
      </c>
      <c r="AI15" s="443">
        <f>(Data!BC12+Data!DP12)/AI$6*100000*AI$3</f>
        <v>59731.705091298245</v>
      </c>
      <c r="AJ15" s="443">
        <f>(Data!BD12+Data!DQ12)/AJ$6*100000*AJ$3</f>
        <v>30256.481869385094</v>
      </c>
      <c r="AK15" s="443">
        <f>(Data!BE12+Data!DR12)/AK$6*100000*AK$3</f>
        <v>30979.414179277872</v>
      </c>
      <c r="AL15" s="451" t="s">
        <v>353</v>
      </c>
      <c r="AM15" s="443">
        <f t="shared" si="5"/>
        <v>323149.72958214633</v>
      </c>
      <c r="AN15" s="443">
        <f>(Data!AN12+Data!DA12)/AN$6*100000*AN$3</f>
        <v>0</v>
      </c>
      <c r="AO15" s="443">
        <f>(Data!AO12+Data!DB12)/AO$6*100000*AO$3</f>
        <v>0</v>
      </c>
      <c r="AP15" s="443">
        <f>(Data!AP12+Data!DC12)/AP$6*100000*AP$3</f>
        <v>0</v>
      </c>
      <c r="AQ15" s="443">
        <f>(Data!AQ12+Data!DD12)/AQ$6*100000*AQ$3</f>
        <v>0</v>
      </c>
      <c r="AR15" s="443">
        <f>(Data!AR12+Data!DE12)/AR$6*100000*AR$3</f>
        <v>0</v>
      </c>
      <c r="AS15" s="443">
        <f>(Data!AS12+Data!DF12)/AS$6*100000*AS$3</f>
        <v>0</v>
      </c>
      <c r="AT15" s="443">
        <f>(Data!AT12+Data!DG12)/AT$6*100000*AT$3</f>
        <v>6737.371639034086</v>
      </c>
      <c r="AU15" s="443">
        <f>(Data!AU12+Data!DH12)/AU$6*100000*AU$3</f>
        <v>0</v>
      </c>
      <c r="AV15" s="443">
        <f>(Data!AV12+Data!DI12)/AV$6*100000*AV$3</f>
        <v>9103.2306354054981</v>
      </c>
      <c r="AW15" s="443">
        <f>(Data!AW12+Data!DJ12)/AW$6*100000*AW$3</f>
        <v>5774.2276970455196</v>
      </c>
      <c r="AX15" s="443">
        <f>(Data!AX12+Data!DK12)/AX$6*100000*AX$3</f>
        <v>42186.223311662936</v>
      </c>
      <c r="AY15" s="443">
        <f>(Data!AY12+Data!DL12)/AY$6*100000*AY$3</f>
        <v>31889.100961831558</v>
      </c>
      <c r="AZ15" s="443">
        <f>(Data!AZ12+Data!DM12)/AZ$6*100000*AZ$3</f>
        <v>51570.860119902245</v>
      </c>
      <c r="BA15" s="443">
        <f>(Data!BA12+Data!DN12)/BA$6*100000*BA$3</f>
        <v>74349.954219704116</v>
      </c>
      <c r="BB15" s="443">
        <f>(Data!BB12+Data!DO12)/BB$6*100000*BB$3</f>
        <v>41054.960427579805</v>
      </c>
      <c r="BC15" s="443">
        <f>(Data!BC12+Data!DP12)/BC$6*100000*BC$3</f>
        <v>29865.852545649122</v>
      </c>
      <c r="BD15" s="443">
        <f>(Data!BD12+Data!DQ12)/BD$6*100000*BD$3</f>
        <v>15128.240934692547</v>
      </c>
      <c r="BE15" s="443">
        <f>(Data!BE12+Data!DR12)/BE$6*100000*BE$3</f>
        <v>15489.707089638936</v>
      </c>
      <c r="BF15" s="392"/>
      <c r="BG15" s="392"/>
      <c r="BH15" s="392"/>
    </row>
    <row r="16" spans="1:60" ht="12" customHeight="1">
      <c r="A16" s="30"/>
      <c r="B16" s="150" t="str">
        <f>UPPER(LEFT(TRIM(Data!B13),1)) &amp; MID(TRIM(Data!B13),2,50)</f>
        <v>Tulžies pūslės, ekstrahepatinių takų</v>
      </c>
      <c r="C16" s="129" t="str">
        <f>Data!C13</f>
        <v>C23, C24</v>
      </c>
      <c r="D16" s="142">
        <f>Data!E13+Data!BR13</f>
        <v>96</v>
      </c>
      <c r="E16" s="131">
        <f t="shared" si="6"/>
        <v>3.3047495447363255</v>
      </c>
      <c r="F16" s="132">
        <f t="shared" si="7"/>
        <v>2.081939789458521</v>
      </c>
      <c r="G16" s="133">
        <f t="shared" si="8"/>
        <v>1.4060391182076593</v>
      </c>
      <c r="H16" s="59"/>
      <c r="I16" s="59"/>
      <c r="J16" s="59"/>
      <c r="K16" s="59"/>
      <c r="L16" s="59"/>
      <c r="M16" s="59"/>
      <c r="N16" s="59"/>
      <c r="O16" s="59"/>
      <c r="P16" s="60"/>
      <c r="Q16" s="317"/>
      <c r="R16" s="338" t="s">
        <v>353</v>
      </c>
      <c r="S16" s="443">
        <f t="shared" si="4"/>
        <v>208193.97894585208</v>
      </c>
      <c r="T16" s="443">
        <f>(Data!AN13+Data!DA13)/T$6*100000*T$3</f>
        <v>0</v>
      </c>
      <c r="U16" s="443">
        <f>(Data!AO13+Data!DB13)/U$6*100000*U$3</f>
        <v>0</v>
      </c>
      <c r="V16" s="443">
        <f>(Data!AP13+Data!DC13)/V$6*100000*V$3</f>
        <v>0</v>
      </c>
      <c r="W16" s="443">
        <f>(Data!AQ13+Data!DD13)/W$6*100000*W$3</f>
        <v>0</v>
      </c>
      <c r="X16" s="443">
        <f>(Data!AR13+Data!DE13)/X$6*100000*X$3</f>
        <v>0</v>
      </c>
      <c r="Y16" s="443">
        <f>(Data!AS13+Data!DF13)/Y$6*100000*Y$3</f>
        <v>0</v>
      </c>
      <c r="Z16" s="443">
        <f>(Data!AT13+Data!DG13)/Z$6*100000*Z$3</f>
        <v>0</v>
      </c>
      <c r="AA16" s="443">
        <f>(Data!AU13+Data!DH13)/AA$6*100000*AA$3</f>
        <v>3969.3340591544188</v>
      </c>
      <c r="AB16" s="443">
        <f>(Data!AV13+Data!DI13)/AB$6*100000*AB$3</f>
        <v>3540.1452471021375</v>
      </c>
      <c r="AC16" s="443">
        <f>(Data!AW13+Data!DJ13)/AC$6*100000*AC$3</f>
        <v>6736.5989798864402</v>
      </c>
      <c r="AD16" s="443">
        <f>(Data!AX13+Data!DK13)/AD$6*100000*AD$3</f>
        <v>9325.3756794202291</v>
      </c>
      <c r="AE16" s="443">
        <f>(Data!AY13+Data!DL13)/AE$6*100000*AE$3</f>
        <v>14068.721012572747</v>
      </c>
      <c r="AF16" s="443">
        <f>(Data!AZ13+Data!DM13)/AF$6*100000*AF$3</f>
        <v>38092.11258856416</v>
      </c>
      <c r="AG16" s="443">
        <f>(Data!BA13+Data!DN13)/AG$6*100000*AG$3</f>
        <v>41305.530122057848</v>
      </c>
      <c r="AH16" s="443">
        <f>(Data!BB13+Data!DO13)/AH$6*100000*AH$3</f>
        <v>31931.635888117627</v>
      </c>
      <c r="AI16" s="443">
        <f>(Data!BC13+Data!DP13)/AI$6*100000*AI$3</f>
        <v>16592.140303138403</v>
      </c>
      <c r="AJ16" s="443">
        <f>(Data!BD13+Data!DQ13)/AJ$6*100000*AJ$3</f>
        <v>20946.795140343529</v>
      </c>
      <c r="AK16" s="443">
        <f>(Data!BE13+Data!DR13)/AK$6*100000*AK$3</f>
        <v>21685.589925494507</v>
      </c>
      <c r="AL16" s="451" t="s">
        <v>353</v>
      </c>
      <c r="AM16" s="443">
        <f t="shared" si="5"/>
        <v>140603.91182076593</v>
      </c>
      <c r="AN16" s="443">
        <f>(Data!AN13+Data!DA13)/AN$6*100000*AN$3</f>
        <v>0</v>
      </c>
      <c r="AO16" s="443">
        <f>(Data!AO13+Data!DB13)/AO$6*100000*AO$3</f>
        <v>0</v>
      </c>
      <c r="AP16" s="443">
        <f>(Data!AP13+Data!DC13)/AP$6*100000*AP$3</f>
        <v>0</v>
      </c>
      <c r="AQ16" s="443">
        <f>(Data!AQ13+Data!DD13)/AQ$6*100000*AQ$3</f>
        <v>0</v>
      </c>
      <c r="AR16" s="443">
        <f>(Data!AR13+Data!DE13)/AR$6*100000*AR$3</f>
        <v>0</v>
      </c>
      <c r="AS16" s="443">
        <f>(Data!AS13+Data!DF13)/AS$6*100000*AS$3</f>
        <v>0</v>
      </c>
      <c r="AT16" s="443">
        <f>(Data!AT13+Data!DG13)/AT$6*100000*AT$3</f>
        <v>0</v>
      </c>
      <c r="AU16" s="443">
        <f>(Data!AU13+Data!DH13)/AU$6*100000*AU$3</f>
        <v>3402.286336418073</v>
      </c>
      <c r="AV16" s="443">
        <f>(Data!AV13+Data!DI13)/AV$6*100000*AV$3</f>
        <v>3034.4102118018322</v>
      </c>
      <c r="AW16" s="443">
        <f>(Data!AW13+Data!DJ13)/AW$6*100000*AW$3</f>
        <v>5774.2276970455196</v>
      </c>
      <c r="AX16" s="443">
        <f>(Data!AX13+Data!DK13)/AX$6*100000*AX$3</f>
        <v>6660.982628157306</v>
      </c>
      <c r="AY16" s="443">
        <f>(Data!AY13+Data!DL13)/AY$6*100000*AY$3</f>
        <v>9379.1473417151647</v>
      </c>
      <c r="AZ16" s="443">
        <f>(Data!AZ13+Data!DM13)/AZ$6*100000*AZ$3</f>
        <v>30473.690070851331</v>
      </c>
      <c r="BA16" s="443">
        <f>(Data!BA13+Data!DN13)/BA$6*100000*BA$3</f>
        <v>30979.147591543384</v>
      </c>
      <c r="BB16" s="443">
        <f>(Data!BB13+Data!DO13)/BB$6*100000*BB$3</f>
        <v>21287.757258745085</v>
      </c>
      <c r="BC16" s="443">
        <f>(Data!BC13+Data!DP13)/BC$6*100000*BC$3</f>
        <v>8296.0701515692017</v>
      </c>
      <c r="BD16" s="443">
        <f>(Data!BD13+Data!DQ13)/BD$6*100000*BD$3</f>
        <v>10473.397570171765</v>
      </c>
      <c r="BE16" s="443">
        <f>(Data!BE13+Data!DR13)/BE$6*100000*BE$3</f>
        <v>10842.794962747254</v>
      </c>
      <c r="BF16" s="392"/>
      <c r="BG16" s="392"/>
      <c r="BH16" s="392"/>
    </row>
    <row r="17" spans="1:388" ht="12" customHeight="1">
      <c r="A17" s="30"/>
      <c r="B17" s="150" t="str">
        <f>UPPER(LEFT(TRIM(Data!B14),1)) &amp; MID(TRIM(Data!B14),2,50)</f>
        <v>Kasos</v>
      </c>
      <c r="C17" s="129" t="str">
        <f>Data!C14</f>
        <v>C25</v>
      </c>
      <c r="D17" s="142">
        <f>Data!E14+Data!BR14</f>
        <v>469</v>
      </c>
      <c r="E17" s="131">
        <f t="shared" si="6"/>
        <v>16.145078505013927</v>
      </c>
      <c r="F17" s="132">
        <f t="shared" si="7"/>
        <v>10.263660754618323</v>
      </c>
      <c r="G17" s="133">
        <f t="shared" si="8"/>
        <v>6.8390153336402051</v>
      </c>
      <c r="H17" s="59"/>
      <c r="I17" s="59"/>
      <c r="J17" s="59"/>
      <c r="K17" s="59"/>
      <c r="L17" s="59"/>
      <c r="M17" s="59"/>
      <c r="N17" s="59"/>
      <c r="O17" s="59"/>
      <c r="P17" s="60"/>
      <c r="Q17" s="317"/>
      <c r="R17" s="338" t="s">
        <v>353</v>
      </c>
      <c r="S17" s="443">
        <f t="shared" si="4"/>
        <v>1026366.0754618323</v>
      </c>
      <c r="T17" s="443">
        <f>(Data!AN14+Data!DA14)/T$6*100000*T$3</f>
        <v>0</v>
      </c>
      <c r="U17" s="443">
        <f>(Data!AO14+Data!DB14)/U$6*100000*U$3</f>
        <v>0</v>
      </c>
      <c r="V17" s="443">
        <f>(Data!AP14+Data!DC14)/V$6*100000*V$3</f>
        <v>0</v>
      </c>
      <c r="W17" s="443">
        <f>(Data!AQ14+Data!DD14)/W$6*100000*W$3</f>
        <v>0</v>
      </c>
      <c r="X17" s="443">
        <f>(Data!AR14+Data!DE14)/X$6*100000*X$3</f>
        <v>0</v>
      </c>
      <c r="Y17" s="443">
        <f>(Data!AS14+Data!DF14)/Y$6*100000*Y$3</f>
        <v>3578.4576847378785</v>
      </c>
      <c r="Z17" s="443">
        <f>(Data!AT14+Data!DG14)/Z$6*100000*Z$3</f>
        <v>0</v>
      </c>
      <c r="AA17" s="443">
        <f>(Data!AU14+Data!DH14)/AA$6*100000*AA$3</f>
        <v>0</v>
      </c>
      <c r="AB17" s="443">
        <f>(Data!AV14+Data!DI14)/AB$6*100000*AB$3</f>
        <v>14160.58098840855</v>
      </c>
      <c r="AC17" s="443">
        <f>(Data!AW14+Data!DJ14)/AC$6*100000*AC$3</f>
        <v>43787.893369261867</v>
      </c>
      <c r="AD17" s="443">
        <f>(Data!AX14+Data!DK14)/AD$6*100000*AD$3</f>
        <v>80819.922554975303</v>
      </c>
      <c r="AE17" s="443">
        <f>(Data!AY14+Data!DL14)/AE$6*100000*AE$3</f>
        <v>90039.814480465589</v>
      </c>
      <c r="AF17" s="443">
        <f>(Data!AZ14+Data!DM14)/AF$6*100000*AF$3</f>
        <v>117206.50027250512</v>
      </c>
      <c r="AG17" s="443">
        <f>(Data!BA14+Data!DN14)/AG$6*100000*AG$3</f>
        <v>217542.45864283797</v>
      </c>
      <c r="AH17" s="443">
        <f>(Data!BB14+Data!DO14)/AH$6*100000*AH$3</f>
        <v>155096.51717085709</v>
      </c>
      <c r="AI17" s="443">
        <f>(Data!BC14+Data!DP14)/AI$6*100000*AI$3</f>
        <v>157625.33287981484</v>
      </c>
      <c r="AJ17" s="443">
        <f>(Data!BD14+Data!DQ14)/AJ$6*100000*AJ$3</f>
        <v>76804.91551459294</v>
      </c>
      <c r="AK17" s="443">
        <f>(Data!BE14+Data!DR14)/AK$6*100000*AK$3</f>
        <v>69703.681903375211</v>
      </c>
      <c r="AL17" s="451" t="s">
        <v>353</v>
      </c>
      <c r="AM17" s="443">
        <f t="shared" si="5"/>
        <v>683901.53336402052</v>
      </c>
      <c r="AN17" s="443">
        <f>(Data!AN14+Data!DA14)/AN$6*100000*AN$3</f>
        <v>0</v>
      </c>
      <c r="AO17" s="443">
        <f>(Data!AO14+Data!DB14)/AO$6*100000*AO$3</f>
        <v>0</v>
      </c>
      <c r="AP17" s="443">
        <f>(Data!AP14+Data!DC14)/AP$6*100000*AP$3</f>
        <v>0</v>
      </c>
      <c r="AQ17" s="443">
        <f>(Data!AQ14+Data!DD14)/AQ$6*100000*AQ$3</f>
        <v>0</v>
      </c>
      <c r="AR17" s="443">
        <f>(Data!AR14+Data!DE14)/AR$6*100000*AR$3</f>
        <v>0</v>
      </c>
      <c r="AS17" s="443">
        <f>(Data!AS14+Data!DF14)/AS$6*100000*AS$3</f>
        <v>4089.6659254147185</v>
      </c>
      <c r="AT17" s="443">
        <f>(Data!AT14+Data!DG14)/AT$6*100000*AT$3</f>
        <v>0</v>
      </c>
      <c r="AU17" s="443">
        <f>(Data!AU14+Data!DH14)/AU$6*100000*AU$3</f>
        <v>0</v>
      </c>
      <c r="AV17" s="443">
        <f>(Data!AV14+Data!DI14)/AV$6*100000*AV$3</f>
        <v>12137.640847207329</v>
      </c>
      <c r="AW17" s="443">
        <f>(Data!AW14+Data!DJ14)/AW$6*100000*AW$3</f>
        <v>37532.480030795879</v>
      </c>
      <c r="AX17" s="443">
        <f>(Data!AX14+Data!DK14)/AX$6*100000*AX$3</f>
        <v>57728.516110696641</v>
      </c>
      <c r="AY17" s="443">
        <f>(Data!AY14+Data!DL14)/AY$6*100000*AY$3</f>
        <v>60026.542986977052</v>
      </c>
      <c r="AZ17" s="443">
        <f>(Data!AZ14+Data!DM14)/AZ$6*100000*AZ$3</f>
        <v>93765.200218004102</v>
      </c>
      <c r="BA17" s="443">
        <f>(Data!BA14+Data!DN14)/BA$6*100000*BA$3</f>
        <v>163156.84398212848</v>
      </c>
      <c r="BB17" s="443">
        <f>(Data!BB14+Data!DO14)/BB$6*100000*BB$3</f>
        <v>103397.67811390472</v>
      </c>
      <c r="BC17" s="443">
        <f>(Data!BC14+Data!DP14)/BC$6*100000*BC$3</f>
        <v>78812.666439907422</v>
      </c>
      <c r="BD17" s="443">
        <f>(Data!BD14+Data!DQ14)/BD$6*100000*BD$3</f>
        <v>38402.45775729647</v>
      </c>
      <c r="BE17" s="443">
        <f>(Data!BE14+Data!DR14)/BE$6*100000*BE$3</f>
        <v>34851.840951687605</v>
      </c>
      <c r="BF17" s="392"/>
      <c r="BG17" s="392"/>
      <c r="BH17" s="392"/>
    </row>
    <row r="18" spans="1:388" ht="12" customHeight="1">
      <c r="A18" s="30"/>
      <c r="B18" s="150" t="str">
        <f>UPPER(LEFT(TRIM(Data!B15),1)) &amp; MID(TRIM(Data!B15),2,50)</f>
        <v>Kitų virškinimo sistemos organų</v>
      </c>
      <c r="C18" s="129" t="str">
        <f>Data!C15</f>
        <v>C17, C26, C48</v>
      </c>
      <c r="D18" s="142">
        <f>Data!E15+Data!BR15</f>
        <v>63</v>
      </c>
      <c r="E18" s="131">
        <f t="shared" si="6"/>
        <v>2.1687418887332135</v>
      </c>
      <c r="F18" s="132">
        <f t="shared" si="7"/>
        <v>1.3427650861089382</v>
      </c>
      <c r="G18" s="133">
        <f t="shared" si="8"/>
        <v>0.88841940859420565</v>
      </c>
      <c r="H18" s="59"/>
      <c r="I18" s="59"/>
      <c r="J18" s="59"/>
      <c r="K18" s="59"/>
      <c r="L18" s="59"/>
      <c r="M18" s="59"/>
      <c r="N18" s="59"/>
      <c r="O18" s="59"/>
      <c r="P18" s="60"/>
      <c r="Q18" s="317"/>
      <c r="R18" s="338" t="s">
        <v>353</v>
      </c>
      <c r="S18" s="336">
        <f t="shared" si="4"/>
        <v>134276.50861089383</v>
      </c>
      <c r="T18" s="336">
        <f>(Data!AN15+Data!DA15)/T$6*100000*T$3</f>
        <v>0</v>
      </c>
      <c r="U18" s="336">
        <f>(Data!AO15+Data!DB15)/U$6*100000*U$3</f>
        <v>0</v>
      </c>
      <c r="V18" s="336">
        <f>(Data!AP15+Data!DC15)/V$6*100000*V$3</f>
        <v>0</v>
      </c>
      <c r="W18" s="336">
        <f>(Data!AQ15+Data!DD15)/W$6*100000*W$3</f>
        <v>0</v>
      </c>
      <c r="X18" s="336">
        <f>(Data!AR15+Data!DE15)/X$6*100000*X$3</f>
        <v>0</v>
      </c>
      <c r="Y18" s="336">
        <f>(Data!AS15+Data!DF15)/Y$6*100000*Y$3</f>
        <v>0</v>
      </c>
      <c r="Z18" s="336">
        <f>(Data!AT15+Data!DG15)/Z$6*100000*Z$3</f>
        <v>0</v>
      </c>
      <c r="AA18" s="336">
        <f>(Data!AU15+Data!DH15)/AA$6*100000*AA$3</f>
        <v>3969.3340591544188</v>
      </c>
      <c r="AB18" s="336">
        <f>(Data!AV15+Data!DI15)/AB$6*100000*AB$3</f>
        <v>0</v>
      </c>
      <c r="AC18" s="336">
        <f>(Data!AW15+Data!DJ15)/AC$6*100000*AC$3</f>
        <v>3368.2994899432201</v>
      </c>
      <c r="AD18" s="336">
        <f>(Data!AX15+Data!DK15)/AD$6*100000*AD$3</f>
        <v>12433.834239226971</v>
      </c>
      <c r="AE18" s="336">
        <f>(Data!AY15+Data!DL15)/AE$6*100000*AE$3</f>
        <v>5627.4884050290993</v>
      </c>
      <c r="AF18" s="336">
        <f>(Data!AZ15+Data!DM15)/AF$6*100000*AF$3</f>
        <v>8790.4875204378841</v>
      </c>
      <c r="AG18" s="336">
        <f>(Data!BA15+Data!DN15)/AG$6*100000*AG$3</f>
        <v>46812.934138332217</v>
      </c>
      <c r="AH18" s="336">
        <f>(Data!BB15+Data!DO15)/AH$6*100000*AH$3</f>
        <v>6842.4934045966347</v>
      </c>
      <c r="AI18" s="336">
        <f>(Data!BC15+Data!DP15)/AI$6*100000*AI$3</f>
        <v>16592.140303138403</v>
      </c>
      <c r="AJ18" s="336">
        <f>(Data!BD15+Data!DQ15)/AJ$6*100000*AJ$3</f>
        <v>12800.819252432157</v>
      </c>
      <c r="AK18" s="336">
        <f>(Data!BE15+Data!DR15)/AK$6*100000*AK$3</f>
        <v>17038.677798602828</v>
      </c>
      <c r="AL18" s="338" t="s">
        <v>353</v>
      </c>
      <c r="AM18" s="336">
        <f t="shared" si="5"/>
        <v>88841.94085942056</v>
      </c>
      <c r="AN18" s="336">
        <f>(Data!AN15+Data!DA15)/AN$6*100000*AN$3</f>
        <v>0</v>
      </c>
      <c r="AO18" s="336">
        <f>(Data!AO15+Data!DB15)/AO$6*100000*AO$3</f>
        <v>0</v>
      </c>
      <c r="AP18" s="336">
        <f>(Data!AP15+Data!DC15)/AP$6*100000*AP$3</f>
        <v>0</v>
      </c>
      <c r="AQ18" s="336">
        <f>(Data!AQ15+Data!DD15)/AQ$6*100000*AQ$3</f>
        <v>0</v>
      </c>
      <c r="AR18" s="336">
        <f>(Data!AR15+Data!DE15)/AR$6*100000*AR$3</f>
        <v>0</v>
      </c>
      <c r="AS18" s="336">
        <f>(Data!AS15+Data!DF15)/AS$6*100000*AS$3</f>
        <v>0</v>
      </c>
      <c r="AT18" s="336">
        <f>(Data!AT15+Data!DG15)/AT$6*100000*AT$3</f>
        <v>0</v>
      </c>
      <c r="AU18" s="336">
        <f>(Data!AU15+Data!DH15)/AU$6*100000*AU$3</f>
        <v>3402.286336418073</v>
      </c>
      <c r="AV18" s="336">
        <f>(Data!AV15+Data!DI15)/AV$6*100000*AV$3</f>
        <v>0</v>
      </c>
      <c r="AW18" s="336">
        <f>(Data!AW15+Data!DJ15)/AW$6*100000*AW$3</f>
        <v>2887.1138485227598</v>
      </c>
      <c r="AX18" s="336">
        <f>(Data!AX15+Data!DK15)/AX$6*100000*AX$3</f>
        <v>8881.3101708764079</v>
      </c>
      <c r="AY18" s="336">
        <f>(Data!AY15+Data!DL15)/AY$6*100000*AY$3</f>
        <v>3751.6589366860658</v>
      </c>
      <c r="AZ18" s="336">
        <f>(Data!AZ15+Data!DM15)/AZ$6*100000*AZ$3</f>
        <v>7032.3900163503076</v>
      </c>
      <c r="BA18" s="336">
        <f>(Data!BA15+Data!DN15)/BA$6*100000*BA$3</f>
        <v>35109.700603749159</v>
      </c>
      <c r="BB18" s="336">
        <f>(Data!BB15+Data!DO15)/BB$6*100000*BB$3</f>
        <v>4561.6622697310904</v>
      </c>
      <c r="BC18" s="336">
        <f>(Data!BC15+Data!DP15)/BC$6*100000*BC$3</f>
        <v>8296.0701515692017</v>
      </c>
      <c r="BD18" s="336">
        <f>(Data!BD15+Data!DQ15)/BD$6*100000*BD$3</f>
        <v>6400.4096262160783</v>
      </c>
      <c r="BE18" s="336">
        <f>(Data!BE15+Data!DR15)/BE$6*100000*BE$3</f>
        <v>8519.3388993014141</v>
      </c>
    </row>
    <row r="19" spans="1:388" ht="12" customHeight="1">
      <c r="A19" s="30"/>
      <c r="B19" s="150" t="str">
        <f>UPPER(LEFT(TRIM(Data!B16),1)) &amp; MID(TRIM(Data!B16),2,50)</f>
        <v>Nosies ertmės, vid.ausies ir ančių</v>
      </c>
      <c r="C19" s="129" t="str">
        <f>Data!C16</f>
        <v>C30, C31</v>
      </c>
      <c r="D19" s="142">
        <f>Data!E16+Data!BR16</f>
        <v>20</v>
      </c>
      <c r="E19" s="131">
        <f t="shared" si="6"/>
        <v>0.68848948848673452</v>
      </c>
      <c r="F19" s="132">
        <f t="shared" si="7"/>
        <v>0.50126927521322007</v>
      </c>
      <c r="G19" s="133">
        <f t="shared" si="8"/>
        <v>0.35885069840102901</v>
      </c>
      <c r="H19" s="59"/>
      <c r="I19" s="59"/>
      <c r="J19" s="59"/>
      <c r="K19" s="59"/>
      <c r="L19" s="59"/>
      <c r="M19" s="59"/>
      <c r="N19" s="59"/>
      <c r="O19" s="59"/>
      <c r="P19" s="60"/>
      <c r="Q19" s="317"/>
      <c r="R19" s="338" t="s">
        <v>353</v>
      </c>
      <c r="S19" s="336">
        <f t="shared" si="4"/>
        <v>50126.92752132201</v>
      </c>
      <c r="T19" s="336">
        <f>(Data!AN16+Data!DA16)/T$6*100000*T$3</f>
        <v>0</v>
      </c>
      <c r="U19" s="336">
        <f>(Data!AO16+Data!DB16)/U$6*100000*U$3</f>
        <v>0</v>
      </c>
      <c r="V19" s="336">
        <f>(Data!AP16+Data!DC16)/V$6*100000*V$3</f>
        <v>0</v>
      </c>
      <c r="W19" s="336">
        <f>(Data!AQ16+Data!DD16)/W$6*100000*W$3</f>
        <v>0</v>
      </c>
      <c r="X19" s="336">
        <f>(Data!AR16+Data!DE16)/X$6*100000*X$3</f>
        <v>0</v>
      </c>
      <c r="Y19" s="336">
        <f>(Data!AS16+Data!DF16)/Y$6*100000*Y$3</f>
        <v>0</v>
      </c>
      <c r="Z19" s="336">
        <f>(Data!AT16+Data!DG16)/Z$6*100000*Z$3</f>
        <v>0</v>
      </c>
      <c r="AA19" s="336">
        <f>(Data!AU16+Data!DH16)/AA$6*100000*AA$3</f>
        <v>0</v>
      </c>
      <c r="AB19" s="336">
        <f>(Data!AV16+Data!DI16)/AB$6*100000*AB$3</f>
        <v>7080.2904942042751</v>
      </c>
      <c r="AC19" s="336">
        <f>(Data!AW16+Data!DJ16)/AC$6*100000*AC$3</f>
        <v>6736.5989798864402</v>
      </c>
      <c r="AD19" s="336">
        <f>(Data!AX16+Data!DK16)/AD$6*100000*AD$3</f>
        <v>6216.9171196134857</v>
      </c>
      <c r="AE19" s="336">
        <f>(Data!AY16+Data!DL16)/AE$6*100000*AE$3</f>
        <v>2813.7442025145497</v>
      </c>
      <c r="AF19" s="336">
        <f>(Data!AZ16+Data!DM16)/AF$6*100000*AF$3</f>
        <v>8790.4875204378841</v>
      </c>
      <c r="AG19" s="336">
        <f>(Data!BA16+Data!DN16)/AG$6*100000*AG$3</f>
        <v>2753.7020081371898</v>
      </c>
      <c r="AH19" s="336">
        <f>(Data!BB16+Data!DO16)/AH$6*100000*AH$3</f>
        <v>4561.6622697310904</v>
      </c>
      <c r="AI19" s="336">
        <f>(Data!BC16+Data!DP16)/AI$6*100000*AI$3</f>
        <v>4977.642090941521</v>
      </c>
      <c r="AJ19" s="336">
        <f>(Data!BD16+Data!DQ16)/AJ$6*100000*AJ$3</f>
        <v>0</v>
      </c>
      <c r="AK19" s="336">
        <f>(Data!BE16+Data!DR16)/AK$6*100000*AK$3</f>
        <v>6195.8828358555738</v>
      </c>
      <c r="AL19" s="338" t="s">
        <v>353</v>
      </c>
      <c r="AM19" s="336">
        <f t="shared" si="5"/>
        <v>35885.0698401029</v>
      </c>
      <c r="AN19" s="336">
        <f>(Data!AN16+Data!DA16)/AN$6*100000*AN$3</f>
        <v>0</v>
      </c>
      <c r="AO19" s="336">
        <f>(Data!AO16+Data!DB16)/AO$6*100000*AO$3</f>
        <v>0</v>
      </c>
      <c r="AP19" s="336">
        <f>(Data!AP16+Data!DC16)/AP$6*100000*AP$3</f>
        <v>0</v>
      </c>
      <c r="AQ19" s="336">
        <f>(Data!AQ16+Data!DD16)/AQ$6*100000*AQ$3</f>
        <v>0</v>
      </c>
      <c r="AR19" s="336">
        <f>(Data!AR16+Data!DE16)/AR$6*100000*AR$3</f>
        <v>0</v>
      </c>
      <c r="AS19" s="336">
        <f>(Data!AS16+Data!DF16)/AS$6*100000*AS$3</f>
        <v>0</v>
      </c>
      <c r="AT19" s="336">
        <f>(Data!AT16+Data!DG16)/AT$6*100000*AT$3</f>
        <v>0</v>
      </c>
      <c r="AU19" s="336">
        <f>(Data!AU16+Data!DH16)/AU$6*100000*AU$3</f>
        <v>0</v>
      </c>
      <c r="AV19" s="336">
        <f>(Data!AV16+Data!DI16)/AV$6*100000*AV$3</f>
        <v>6068.8204236036645</v>
      </c>
      <c r="AW19" s="336">
        <f>(Data!AW16+Data!DJ16)/AW$6*100000*AW$3</f>
        <v>5774.2276970455196</v>
      </c>
      <c r="AX19" s="336">
        <f>(Data!AX16+Data!DK16)/AX$6*100000*AX$3</f>
        <v>4440.655085438204</v>
      </c>
      <c r="AY19" s="336">
        <f>(Data!AY16+Data!DL16)/AY$6*100000*AY$3</f>
        <v>1875.8294683430329</v>
      </c>
      <c r="AZ19" s="336">
        <f>(Data!AZ16+Data!DM16)/AZ$6*100000*AZ$3</f>
        <v>7032.3900163503076</v>
      </c>
      <c r="BA19" s="336">
        <f>(Data!BA16+Data!DN16)/BA$6*100000*BA$3</f>
        <v>2065.2765061028922</v>
      </c>
      <c r="BB19" s="336">
        <f>(Data!BB16+Data!DO16)/BB$6*100000*BB$3</f>
        <v>3041.1081798207265</v>
      </c>
      <c r="BC19" s="336">
        <f>(Data!BC16+Data!DP16)/BC$6*100000*BC$3</f>
        <v>2488.8210454707605</v>
      </c>
      <c r="BD19" s="336">
        <f>(Data!BD16+Data!DQ16)/BD$6*100000*BD$3</f>
        <v>0</v>
      </c>
      <c r="BE19" s="336">
        <f>(Data!BE16+Data!DR16)/BE$6*100000*BE$3</f>
        <v>3097.9414179277869</v>
      </c>
    </row>
    <row r="20" spans="1:388" ht="12" customHeight="1">
      <c r="A20" s="30"/>
      <c r="B20" s="150" t="str">
        <f>UPPER(LEFT(TRIM(Data!B17),1)) &amp; MID(TRIM(Data!B17),2,50)</f>
        <v>Gerklų</v>
      </c>
      <c r="C20" s="129" t="str">
        <f>Data!C17</f>
        <v>C32</v>
      </c>
      <c r="D20" s="142">
        <f>Data!E17+Data!BR17</f>
        <v>132</v>
      </c>
      <c r="E20" s="131">
        <f t="shared" si="6"/>
        <v>4.5440306240124482</v>
      </c>
      <c r="F20" s="132">
        <f t="shared" si="7"/>
        <v>3.4013820567602879</v>
      </c>
      <c r="G20" s="133">
        <f t="shared" si="8"/>
        <v>2.4320965651667792</v>
      </c>
      <c r="H20" s="59"/>
      <c r="I20" s="59"/>
      <c r="J20" s="59"/>
      <c r="K20" s="59"/>
      <c r="L20" s="59"/>
      <c r="M20" s="59"/>
      <c r="N20" s="59"/>
      <c r="O20" s="59"/>
      <c r="P20" s="60"/>
      <c r="Q20" s="317"/>
      <c r="R20" s="338" t="s">
        <v>353</v>
      </c>
      <c r="S20" s="336">
        <f t="shared" si="4"/>
        <v>340138.2056760288</v>
      </c>
      <c r="T20" s="336">
        <f>(Data!AN17+Data!DA17)/T$6*100000*T$3</f>
        <v>0</v>
      </c>
      <c r="U20" s="336">
        <f>(Data!AO17+Data!DB17)/U$6*100000*U$3</f>
        <v>0</v>
      </c>
      <c r="V20" s="336">
        <f>(Data!AP17+Data!DC17)/V$6*100000*V$3</f>
        <v>0</v>
      </c>
      <c r="W20" s="336">
        <f>(Data!AQ17+Data!DD17)/W$6*100000*W$3</f>
        <v>0</v>
      </c>
      <c r="X20" s="336">
        <f>(Data!AR17+Data!DE17)/X$6*100000*X$3</f>
        <v>0</v>
      </c>
      <c r="Y20" s="336">
        <f>(Data!AS17+Data!DF17)/Y$6*100000*Y$3</f>
        <v>0</v>
      </c>
      <c r="Z20" s="336">
        <f>(Data!AT17+Data!DG17)/Z$6*100000*Z$3</f>
        <v>0</v>
      </c>
      <c r="AA20" s="336">
        <f>(Data!AU17+Data!DH17)/AA$6*100000*AA$3</f>
        <v>0</v>
      </c>
      <c r="AB20" s="336">
        <f>(Data!AV17+Data!DI17)/AB$6*100000*AB$3</f>
        <v>14160.58098840855</v>
      </c>
      <c r="AC20" s="336">
        <f>(Data!AW17+Data!DJ17)/AC$6*100000*AC$3</f>
        <v>13473.19795977288</v>
      </c>
      <c r="AD20" s="336">
        <f>(Data!AX17+Data!DK17)/AD$6*100000*AD$3</f>
        <v>40409.961277487651</v>
      </c>
      <c r="AE20" s="336">
        <f>(Data!AY17+Data!DL17)/AE$6*100000*AE$3</f>
        <v>50647.395645261895</v>
      </c>
      <c r="AF20" s="336">
        <f>(Data!AZ17+Data!DM17)/AF$6*100000*AF$3</f>
        <v>61533.412643065181</v>
      </c>
      <c r="AG20" s="336">
        <f>(Data!BA17+Data!DN17)/AG$6*100000*AG$3</f>
        <v>74349.954219704116</v>
      </c>
      <c r="AH20" s="336">
        <f>(Data!BB17+Data!DO17)/AH$6*100000*AH$3</f>
        <v>54739.947236773078</v>
      </c>
      <c r="AI20" s="336">
        <f>(Data!BC17+Data!DP17)/AI$6*100000*AI$3</f>
        <v>14932.926272824561</v>
      </c>
      <c r="AJ20" s="336">
        <f>(Data!BD17+Data!DQ17)/AJ$6*100000*AJ$3</f>
        <v>8145.9758879113715</v>
      </c>
      <c r="AK20" s="336">
        <f>(Data!BE17+Data!DR17)/AK$6*100000*AK$3</f>
        <v>7744.853544819468</v>
      </c>
      <c r="AL20" s="338" t="s">
        <v>353</v>
      </c>
      <c r="AM20" s="336">
        <f t="shared" si="5"/>
        <v>243209.65651667793</v>
      </c>
      <c r="AN20" s="336">
        <f>(Data!AN17+Data!DA17)/AN$6*100000*AN$3</f>
        <v>0</v>
      </c>
      <c r="AO20" s="336">
        <f>(Data!AO17+Data!DB17)/AO$6*100000*AO$3</f>
        <v>0</v>
      </c>
      <c r="AP20" s="336">
        <f>(Data!AP17+Data!DC17)/AP$6*100000*AP$3</f>
        <v>0</v>
      </c>
      <c r="AQ20" s="336">
        <f>(Data!AQ17+Data!DD17)/AQ$6*100000*AQ$3</f>
        <v>0</v>
      </c>
      <c r="AR20" s="336">
        <f>(Data!AR17+Data!DE17)/AR$6*100000*AR$3</f>
        <v>0</v>
      </c>
      <c r="AS20" s="336">
        <f>(Data!AS17+Data!DF17)/AS$6*100000*AS$3</f>
        <v>0</v>
      </c>
      <c r="AT20" s="336">
        <f>(Data!AT17+Data!DG17)/AT$6*100000*AT$3</f>
        <v>0</v>
      </c>
      <c r="AU20" s="336">
        <f>(Data!AU17+Data!DH17)/AU$6*100000*AU$3</f>
        <v>0</v>
      </c>
      <c r="AV20" s="336">
        <f>(Data!AV17+Data!DI17)/AV$6*100000*AV$3</f>
        <v>12137.640847207329</v>
      </c>
      <c r="AW20" s="336">
        <f>(Data!AW17+Data!DJ17)/AW$6*100000*AW$3</f>
        <v>11548.455394091039</v>
      </c>
      <c r="AX20" s="336">
        <f>(Data!AX17+Data!DK17)/AX$6*100000*AX$3</f>
        <v>28864.25805534832</v>
      </c>
      <c r="AY20" s="336">
        <f>(Data!AY17+Data!DL17)/AY$6*100000*AY$3</f>
        <v>33764.930430174594</v>
      </c>
      <c r="AZ20" s="336">
        <f>(Data!AZ17+Data!DM17)/AZ$6*100000*AZ$3</f>
        <v>49226.730114452148</v>
      </c>
      <c r="BA20" s="336">
        <f>(Data!BA17+Data!DN17)/BA$6*100000*BA$3</f>
        <v>55762.465664778087</v>
      </c>
      <c r="BB20" s="336">
        <f>(Data!BB17+Data!DO17)/BB$6*100000*BB$3</f>
        <v>36493.298157848723</v>
      </c>
      <c r="BC20" s="336">
        <f>(Data!BC17+Data!DP17)/BC$6*100000*BC$3</f>
        <v>7466.4631364122806</v>
      </c>
      <c r="BD20" s="336">
        <f>(Data!BD17+Data!DQ17)/BD$6*100000*BD$3</f>
        <v>4072.9879439556858</v>
      </c>
      <c r="BE20" s="336">
        <f>(Data!BE17+Data!DR17)/BE$6*100000*BE$3</f>
        <v>3872.426772409734</v>
      </c>
    </row>
    <row r="21" spans="1:388" ht="12" customHeight="1">
      <c r="A21" s="30"/>
      <c r="B21" s="150" t="str">
        <f>UPPER(LEFT(TRIM(Data!B18),1)) &amp; MID(TRIM(Data!B18),2,50)</f>
        <v>Plaučių, trachėjos, bronchų</v>
      </c>
      <c r="C21" s="129" t="str">
        <f>Data!C18</f>
        <v>C33, C34</v>
      </c>
      <c r="D21" s="142">
        <f>Data!E18+Data!BR18</f>
        <v>1346</v>
      </c>
      <c r="E21" s="131">
        <f t="shared" si="6"/>
        <v>46.335342575157235</v>
      </c>
      <c r="F21" s="132">
        <f t="shared" si="7"/>
        <v>31.490490325896182</v>
      </c>
      <c r="G21" s="133">
        <f t="shared" si="8"/>
        <v>21.63372583382802</v>
      </c>
      <c r="H21" s="59"/>
      <c r="I21" s="59"/>
      <c r="J21" s="59"/>
      <c r="K21" s="59"/>
      <c r="L21" s="59"/>
      <c r="M21" s="59"/>
      <c r="N21" s="59"/>
      <c r="O21" s="59"/>
      <c r="P21" s="60"/>
      <c r="Q21" s="317"/>
      <c r="R21" s="338" t="s">
        <v>353</v>
      </c>
      <c r="S21" s="336">
        <f t="shared" si="4"/>
        <v>3149049.0325896181</v>
      </c>
      <c r="T21" s="336">
        <f>(Data!AN18+Data!DA18)/T$6*100000*T$3</f>
        <v>0</v>
      </c>
      <c r="U21" s="336">
        <f>(Data!AO18+Data!DB18)/U$6*100000*U$3</f>
        <v>0</v>
      </c>
      <c r="V21" s="336">
        <f>(Data!AP18+Data!DC18)/V$6*100000*V$3</f>
        <v>0</v>
      </c>
      <c r="W21" s="336">
        <f>(Data!AQ18+Data!DD18)/W$6*100000*W$3</f>
        <v>0</v>
      </c>
      <c r="X21" s="336">
        <f>(Data!AR18+Data!DE18)/X$6*100000*X$3</f>
        <v>0</v>
      </c>
      <c r="Y21" s="336">
        <f>(Data!AS18+Data!DF18)/Y$6*100000*Y$3</f>
        <v>0</v>
      </c>
      <c r="Z21" s="336">
        <f>(Data!AT18+Data!DG18)/Z$6*100000*Z$3</f>
        <v>0</v>
      </c>
      <c r="AA21" s="336">
        <f>(Data!AU18+Data!DH18)/AA$6*100000*AA$3</f>
        <v>7938.6681183088376</v>
      </c>
      <c r="AB21" s="336">
        <f>(Data!AV18+Data!DI18)/AB$6*100000*AB$3</f>
        <v>53102.178706532075</v>
      </c>
      <c r="AC21" s="336">
        <f>(Data!AW18+Data!DJ18)/AC$6*100000*AC$3</f>
        <v>77470.888268694063</v>
      </c>
      <c r="AD21" s="336">
        <f>(Data!AX18+Data!DK18)/AD$6*100000*AD$3</f>
        <v>245568.22622473264</v>
      </c>
      <c r="AE21" s="336">
        <f>(Data!AY18+Data!DL18)/AE$6*100000*AE$3</f>
        <v>433316.60718724062</v>
      </c>
      <c r="AF21" s="336">
        <f>(Data!AZ18+Data!DM18)/AF$6*100000*AF$3</f>
        <v>627054.77645790239</v>
      </c>
      <c r="AG21" s="336">
        <f>(Data!BA18+Data!DN18)/AG$6*100000*AG$3</f>
        <v>559001.50765184942</v>
      </c>
      <c r="AH21" s="336">
        <f>(Data!BB18+Data!DO18)/AH$6*100000*AH$3</f>
        <v>520029.4987493442</v>
      </c>
      <c r="AI21" s="336">
        <f>(Data!BC18+Data!DP18)/AI$6*100000*AI$3</f>
        <v>318569.09382025735</v>
      </c>
      <c r="AJ21" s="336">
        <f>(Data!BD18+Data!DQ18)/AJ$6*100000*AJ$3</f>
        <v>176884.04785178977</v>
      </c>
      <c r="AK21" s="336">
        <f>(Data!BE18+Data!DR18)/AK$6*100000*AK$3</f>
        <v>130113.53955296706</v>
      </c>
      <c r="AL21" s="338" t="s">
        <v>353</v>
      </c>
      <c r="AM21" s="336">
        <f t="shared" si="5"/>
        <v>2163372.5833828021</v>
      </c>
      <c r="AN21" s="336">
        <f>(Data!AN18+Data!DA18)/AN$6*100000*AN$3</f>
        <v>0</v>
      </c>
      <c r="AO21" s="336">
        <f>(Data!AO18+Data!DB18)/AO$6*100000*AO$3</f>
        <v>0</v>
      </c>
      <c r="AP21" s="336">
        <f>(Data!AP18+Data!DC18)/AP$6*100000*AP$3</f>
        <v>0</v>
      </c>
      <c r="AQ21" s="336">
        <f>(Data!AQ18+Data!DD18)/AQ$6*100000*AQ$3</f>
        <v>0</v>
      </c>
      <c r="AR21" s="336">
        <f>(Data!AR18+Data!DE18)/AR$6*100000*AR$3</f>
        <v>0</v>
      </c>
      <c r="AS21" s="336">
        <f>(Data!AS18+Data!DF18)/AS$6*100000*AS$3</f>
        <v>0</v>
      </c>
      <c r="AT21" s="336">
        <f>(Data!AT18+Data!DG18)/AT$6*100000*AT$3</f>
        <v>0</v>
      </c>
      <c r="AU21" s="336">
        <f>(Data!AU18+Data!DH18)/AU$6*100000*AU$3</f>
        <v>6804.572672836146</v>
      </c>
      <c r="AV21" s="336">
        <f>(Data!AV18+Data!DI18)/AV$6*100000*AV$3</f>
        <v>45516.153177027489</v>
      </c>
      <c r="AW21" s="336">
        <f>(Data!AW18+Data!DJ18)/AW$6*100000*AW$3</f>
        <v>66403.618516023475</v>
      </c>
      <c r="AX21" s="336">
        <f>(Data!AX18+Data!DK18)/AX$6*100000*AX$3</f>
        <v>175405.87587480905</v>
      </c>
      <c r="AY21" s="336">
        <f>(Data!AY18+Data!DL18)/AY$6*100000*AY$3</f>
        <v>288877.7381248271</v>
      </c>
      <c r="AZ21" s="336">
        <f>(Data!AZ18+Data!DM18)/AZ$6*100000*AZ$3</f>
        <v>501643.82116632193</v>
      </c>
      <c r="BA21" s="336">
        <f>(Data!BA18+Data!DN18)/BA$6*100000*BA$3</f>
        <v>419251.13073888712</v>
      </c>
      <c r="BB21" s="336">
        <f>(Data!BB18+Data!DO18)/BB$6*100000*BB$3</f>
        <v>346686.33249956282</v>
      </c>
      <c r="BC21" s="336">
        <f>(Data!BC18+Data!DP18)/BC$6*100000*BC$3</f>
        <v>159284.54691012867</v>
      </c>
      <c r="BD21" s="336">
        <f>(Data!BD18+Data!DQ18)/BD$6*100000*BD$3</f>
        <v>88442.023925894886</v>
      </c>
      <c r="BE21" s="336">
        <f>(Data!BE18+Data!DR18)/BE$6*100000*BE$3</f>
        <v>65056.769776483532</v>
      </c>
    </row>
    <row r="22" spans="1:388" ht="12" customHeight="1">
      <c r="A22" s="30"/>
      <c r="B22" s="150" t="str">
        <f>UPPER(LEFT(TRIM(Data!B19),1)) &amp; MID(TRIM(Data!B19),2,50)</f>
        <v>Kitų kvėpavimo sistemos organų</v>
      </c>
      <c r="C22" s="129" t="str">
        <f>Data!C19</f>
        <v>C37-C39</v>
      </c>
      <c r="D22" s="142">
        <f>Data!E19+Data!BR19</f>
        <v>18</v>
      </c>
      <c r="E22" s="131">
        <f t="shared" si="6"/>
        <v>0.61964053963806109</v>
      </c>
      <c r="F22" s="132">
        <f t="shared" si="7"/>
        <v>0.39102029152826939</v>
      </c>
      <c r="G22" s="133">
        <f t="shared" si="8"/>
        <v>0.26557753420921038</v>
      </c>
      <c r="H22" s="58"/>
      <c r="I22" s="58"/>
      <c r="J22" s="58"/>
      <c r="K22" s="58"/>
      <c r="L22" s="58"/>
      <c r="M22" s="58"/>
      <c r="N22" s="58"/>
      <c r="O22" s="58"/>
      <c r="P22" s="60"/>
      <c r="Q22" s="317"/>
      <c r="R22" s="338" t="s">
        <v>353</v>
      </c>
      <c r="S22" s="336">
        <f t="shared" si="4"/>
        <v>39102.029152826937</v>
      </c>
      <c r="T22" s="336">
        <f>(Data!AN19+Data!DA19)/T$6*100000*T$3</f>
        <v>0</v>
      </c>
      <c r="U22" s="336">
        <f>(Data!AO19+Data!DB19)/U$6*100000*U$3</f>
        <v>0</v>
      </c>
      <c r="V22" s="336">
        <f>(Data!AP19+Data!DC19)/V$6*100000*V$3</f>
        <v>0</v>
      </c>
      <c r="W22" s="336">
        <f>(Data!AQ19+Data!DD19)/W$6*100000*W$3</f>
        <v>0</v>
      </c>
      <c r="X22" s="336">
        <f>(Data!AR19+Data!DE19)/X$6*100000*X$3</f>
        <v>0</v>
      </c>
      <c r="Y22" s="336">
        <f>(Data!AS19+Data!DF19)/Y$6*100000*Y$3</f>
        <v>0</v>
      </c>
      <c r="Z22" s="336">
        <f>(Data!AT19+Data!DG19)/Z$6*100000*Z$3</f>
        <v>0</v>
      </c>
      <c r="AA22" s="336">
        <f>(Data!AU19+Data!DH19)/AA$6*100000*AA$3</f>
        <v>0</v>
      </c>
      <c r="AB22" s="336">
        <f>(Data!AV19+Data!DI19)/AB$6*100000*AB$3</f>
        <v>0</v>
      </c>
      <c r="AC22" s="336">
        <f>(Data!AW19+Data!DJ19)/AC$6*100000*AC$3</f>
        <v>0</v>
      </c>
      <c r="AD22" s="336">
        <f>(Data!AX19+Data!DK19)/AD$6*100000*AD$3</f>
        <v>3108.4585598067429</v>
      </c>
      <c r="AE22" s="336">
        <f>(Data!AY19+Data!DL19)/AE$6*100000*AE$3</f>
        <v>0</v>
      </c>
      <c r="AF22" s="336">
        <f>(Data!AZ19+Data!DM19)/AF$6*100000*AF$3</f>
        <v>5860.3250136252564</v>
      </c>
      <c r="AG22" s="336">
        <f>(Data!BA19+Data!DN19)/AG$6*100000*AG$3</f>
        <v>13768.510040685946</v>
      </c>
      <c r="AH22" s="336">
        <f>(Data!BB19+Data!DO19)/AH$6*100000*AH$3</f>
        <v>6842.4934045966347</v>
      </c>
      <c r="AI22" s="336">
        <f>(Data!BC19+Data!DP19)/AI$6*100000*AI$3</f>
        <v>3318.4280606276807</v>
      </c>
      <c r="AJ22" s="336">
        <f>(Data!BD19+Data!DQ19)/AJ$6*100000*AJ$3</f>
        <v>4654.8433645207842</v>
      </c>
      <c r="AK22" s="336">
        <f>(Data!BE19+Data!DR19)/AK$6*100000*AK$3</f>
        <v>1548.9707089638935</v>
      </c>
      <c r="AL22" s="338" t="s">
        <v>353</v>
      </c>
      <c r="AM22" s="336">
        <f t="shared" si="5"/>
        <v>26557.753420921035</v>
      </c>
      <c r="AN22" s="336">
        <f>(Data!AN19+Data!DA19)/AN$6*100000*AN$3</f>
        <v>0</v>
      </c>
      <c r="AO22" s="336">
        <f>(Data!AO19+Data!DB19)/AO$6*100000*AO$3</f>
        <v>0</v>
      </c>
      <c r="AP22" s="336">
        <f>(Data!AP19+Data!DC19)/AP$6*100000*AP$3</f>
        <v>0</v>
      </c>
      <c r="AQ22" s="336">
        <f>(Data!AQ19+Data!DD19)/AQ$6*100000*AQ$3</f>
        <v>0</v>
      </c>
      <c r="AR22" s="336">
        <f>(Data!AR19+Data!DE19)/AR$6*100000*AR$3</f>
        <v>0</v>
      </c>
      <c r="AS22" s="336">
        <f>(Data!AS19+Data!DF19)/AS$6*100000*AS$3</f>
        <v>0</v>
      </c>
      <c r="AT22" s="336">
        <f>(Data!AT19+Data!DG19)/AT$6*100000*AT$3</f>
        <v>0</v>
      </c>
      <c r="AU22" s="336">
        <f>(Data!AU19+Data!DH19)/AU$6*100000*AU$3</f>
        <v>0</v>
      </c>
      <c r="AV22" s="336">
        <f>(Data!AV19+Data!DI19)/AV$6*100000*AV$3</f>
        <v>0</v>
      </c>
      <c r="AW22" s="336">
        <f>(Data!AW19+Data!DJ19)/AW$6*100000*AW$3</f>
        <v>0</v>
      </c>
      <c r="AX22" s="336">
        <f>(Data!AX19+Data!DK19)/AX$6*100000*AX$3</f>
        <v>2220.327542719102</v>
      </c>
      <c r="AY22" s="336">
        <f>(Data!AY19+Data!DL19)/AY$6*100000*AY$3</f>
        <v>0</v>
      </c>
      <c r="AZ22" s="336">
        <f>(Data!AZ19+Data!DM19)/AZ$6*100000*AZ$3</f>
        <v>4688.2600109002051</v>
      </c>
      <c r="BA22" s="336">
        <f>(Data!BA19+Data!DN19)/BA$6*100000*BA$3</f>
        <v>10326.38253051446</v>
      </c>
      <c r="BB22" s="336">
        <f>(Data!BB19+Data!DO19)/BB$6*100000*BB$3</f>
        <v>4561.6622697310904</v>
      </c>
      <c r="BC22" s="336">
        <f>(Data!BC19+Data!DP19)/BC$6*100000*BC$3</f>
        <v>1659.2140303138403</v>
      </c>
      <c r="BD22" s="336">
        <f>(Data!BD19+Data!DQ19)/BD$6*100000*BD$3</f>
        <v>2327.4216822603921</v>
      </c>
      <c r="BE22" s="336">
        <f>(Data!BE19+Data!DR19)/BE$6*100000*BE$3</f>
        <v>774.48535448194673</v>
      </c>
    </row>
    <row r="23" spans="1:388" ht="12" customHeight="1">
      <c r="A23" s="30"/>
      <c r="B23" s="150" t="str">
        <f>UPPER(LEFT(TRIM(Data!B20),1)) &amp; MID(TRIM(Data!B20),2,50)</f>
        <v>Kaulų ir jungiamojo audinio</v>
      </c>
      <c r="C23" s="129" t="str">
        <f>Data!C20</f>
        <v>C40-C41, C45-C47, C49</v>
      </c>
      <c r="D23" s="142">
        <f>Data!E20+Data!BR20</f>
        <v>75</v>
      </c>
      <c r="E23" s="131">
        <f t="shared" si="6"/>
        <v>2.5818355818252545</v>
      </c>
      <c r="F23" s="132">
        <f t="shared" si="7"/>
        <v>1.9909688194983151</v>
      </c>
      <c r="G23" s="133">
        <f t="shared" si="8"/>
        <v>1.577927971034742</v>
      </c>
      <c r="H23" s="58"/>
      <c r="I23" s="58"/>
      <c r="J23" s="58"/>
      <c r="K23" s="58"/>
      <c r="L23" s="58"/>
      <c r="M23" s="58"/>
      <c r="N23" s="58"/>
      <c r="O23" s="58"/>
      <c r="P23" s="60"/>
      <c r="Q23" s="317"/>
      <c r="R23" s="338" t="s">
        <v>353</v>
      </c>
      <c r="S23" s="336">
        <f t="shared" si="4"/>
        <v>199096.8819498315</v>
      </c>
      <c r="T23" s="336">
        <f>(Data!AN20+Data!DA20)/T$6*100000*T$3</f>
        <v>5298.5746834101628</v>
      </c>
      <c r="U23" s="336">
        <f>(Data!AO20+Data!DB20)/U$6*100000*U$3</f>
        <v>0</v>
      </c>
      <c r="V23" s="336">
        <f>(Data!AP20+Data!DC20)/V$6*100000*V$3</f>
        <v>5214.5411203814065</v>
      </c>
      <c r="W23" s="336">
        <f>(Data!AQ20+Data!DD20)/W$6*100000*W$3</f>
        <v>8420.0396944728454</v>
      </c>
      <c r="X23" s="336">
        <f>(Data!AR20+Data!DE20)/X$6*100000*X$3</f>
        <v>0</v>
      </c>
      <c r="Y23" s="336">
        <f>(Data!AS20+Data!DF20)/Y$6*100000*Y$3</f>
        <v>7156.915369475757</v>
      </c>
      <c r="Z23" s="336">
        <f>(Data!AT20+Data!DG20)/Z$6*100000*Z$3</f>
        <v>7860.2669122064335</v>
      </c>
      <c r="AA23" s="336">
        <f>(Data!AU20+Data!DH20)/AA$6*100000*AA$3</f>
        <v>15877.336236617675</v>
      </c>
      <c r="AB23" s="336">
        <f>(Data!AV20+Data!DI20)/AB$6*100000*AB$3</f>
        <v>7080.2904942042751</v>
      </c>
      <c r="AC23" s="336">
        <f>(Data!AW20+Data!DJ20)/AC$6*100000*AC$3</f>
        <v>16841.497449716102</v>
      </c>
      <c r="AD23" s="336">
        <f>(Data!AX20+Data!DK20)/AD$6*100000*AD$3</f>
        <v>21759.209918647201</v>
      </c>
      <c r="AE23" s="336">
        <f>(Data!AY20+Data!DL20)/AE$6*100000*AE$3</f>
        <v>16882.465215087297</v>
      </c>
      <c r="AF23" s="336">
        <f>(Data!AZ20+Data!DM20)/AF$6*100000*AF$3</f>
        <v>17580.975040875768</v>
      </c>
      <c r="AG23" s="336">
        <f>(Data!BA20+Data!DN20)/AG$6*100000*AG$3</f>
        <v>19275.91405696033</v>
      </c>
      <c r="AH23" s="336">
        <f>(Data!BB20+Data!DO20)/AH$6*100000*AH$3</f>
        <v>18246.649078924362</v>
      </c>
      <c r="AI23" s="336">
        <f>(Data!BC20+Data!DP20)/AI$6*100000*AI$3</f>
        <v>14932.926272824561</v>
      </c>
      <c r="AJ23" s="336">
        <f>(Data!BD20+Data!DQ20)/AJ$6*100000*AJ$3</f>
        <v>10473.397570171765</v>
      </c>
      <c r="AK23" s="336">
        <f>(Data!BE20+Data!DR20)/AK$6*100000*AK$3</f>
        <v>6195.8828358555738</v>
      </c>
      <c r="AL23" s="338" t="s">
        <v>353</v>
      </c>
      <c r="AM23" s="336">
        <f t="shared" si="5"/>
        <v>157792.79710347421</v>
      </c>
      <c r="AN23" s="336">
        <f>(Data!AN20+Data!DA20)/AN$6*100000*AN$3</f>
        <v>7947.8620251152443</v>
      </c>
      <c r="AO23" s="336">
        <f>(Data!AO20+Data!DB20)/AO$6*100000*AO$3</f>
        <v>0</v>
      </c>
      <c r="AP23" s="336">
        <f>(Data!AP20+Data!DC20)/AP$6*100000*AP$3</f>
        <v>6704.4100119189507</v>
      </c>
      <c r="AQ23" s="336">
        <f>(Data!AQ20+Data!DD20)/AQ$6*100000*AQ$3</f>
        <v>10825.765321465087</v>
      </c>
      <c r="AR23" s="336">
        <f>(Data!AR20+Data!DE20)/AR$6*100000*AR$3</f>
        <v>0</v>
      </c>
      <c r="AS23" s="336">
        <f>(Data!AS20+Data!DF20)/AS$6*100000*AS$3</f>
        <v>8179.3318508294369</v>
      </c>
      <c r="AT23" s="336">
        <f>(Data!AT20+Data!DG20)/AT$6*100000*AT$3</f>
        <v>6737.371639034086</v>
      </c>
      <c r="AU23" s="336">
        <f>(Data!AU20+Data!DH20)/AU$6*100000*AU$3</f>
        <v>13609.145345672292</v>
      </c>
      <c r="AV23" s="336">
        <f>(Data!AV20+Data!DI20)/AV$6*100000*AV$3</f>
        <v>6068.8204236036645</v>
      </c>
      <c r="AW23" s="336">
        <f>(Data!AW20+Data!DJ20)/AW$6*100000*AW$3</f>
        <v>14435.569242613799</v>
      </c>
      <c r="AX23" s="336">
        <f>(Data!AX20+Data!DK20)/AX$6*100000*AX$3</f>
        <v>15542.292799033714</v>
      </c>
      <c r="AY23" s="336">
        <f>(Data!AY20+Data!DL20)/AY$6*100000*AY$3</f>
        <v>11254.976810058197</v>
      </c>
      <c r="AZ23" s="336">
        <f>(Data!AZ20+Data!DM20)/AZ$6*100000*AZ$3</f>
        <v>14064.780032700615</v>
      </c>
      <c r="BA23" s="336">
        <f>(Data!BA20+Data!DN20)/BA$6*100000*BA$3</f>
        <v>14456.935542720246</v>
      </c>
      <c r="BB23" s="336">
        <f>(Data!BB20+Data!DO20)/BB$6*100000*BB$3</f>
        <v>12164.432719282906</v>
      </c>
      <c r="BC23" s="336">
        <f>(Data!BC20+Data!DP20)/BC$6*100000*BC$3</f>
        <v>7466.4631364122806</v>
      </c>
      <c r="BD23" s="336">
        <f>(Data!BD20+Data!DQ20)/BD$6*100000*BD$3</f>
        <v>5236.6987850858823</v>
      </c>
      <c r="BE23" s="336">
        <f>(Data!BE20+Data!DR20)/BE$6*100000*BE$3</f>
        <v>3097.9414179277869</v>
      </c>
    </row>
    <row r="24" spans="1:388" ht="12" customHeight="1">
      <c r="A24" s="30"/>
      <c r="B24" s="150" t="str">
        <f>UPPER(LEFT(TRIM(Data!B21),1)) &amp; MID(TRIM(Data!B21),2,50)</f>
        <v>Odos melanoma</v>
      </c>
      <c r="C24" s="129" t="str">
        <f>Data!C21</f>
        <v>C43</v>
      </c>
      <c r="D24" s="142">
        <f>Data!E21+Data!BR21</f>
        <v>103</v>
      </c>
      <c r="E24" s="131">
        <f t="shared" si="6"/>
        <v>3.5457208657066825</v>
      </c>
      <c r="F24" s="132">
        <f t="shared" si="7"/>
        <v>2.4080296778730936</v>
      </c>
      <c r="G24" s="133">
        <f t="shared" si="8"/>
        <v>1.6369198282060664</v>
      </c>
      <c r="H24" s="58"/>
      <c r="I24" s="58"/>
      <c r="J24" s="58"/>
      <c r="K24" s="58"/>
      <c r="L24" s="58"/>
      <c r="M24" s="58"/>
      <c r="N24" s="58"/>
      <c r="O24" s="58"/>
      <c r="P24" s="60"/>
      <c r="Q24" s="317"/>
      <c r="R24" s="338" t="s">
        <v>353</v>
      </c>
      <c r="S24" s="336">
        <f t="shared" si="4"/>
        <v>240802.96778730935</v>
      </c>
      <c r="T24" s="336">
        <f>(Data!AN21+Data!DA21)/T$6*100000*T$3</f>
        <v>0</v>
      </c>
      <c r="U24" s="336">
        <f>(Data!AO21+Data!DB21)/U$6*100000*U$3</f>
        <v>0</v>
      </c>
      <c r="V24" s="336">
        <f>(Data!AP21+Data!DC21)/V$6*100000*V$3</f>
        <v>0</v>
      </c>
      <c r="W24" s="336">
        <f>(Data!AQ21+Data!DD21)/W$6*100000*W$3</f>
        <v>0</v>
      </c>
      <c r="X24" s="336">
        <f>(Data!AR21+Data!DE21)/X$6*100000*X$3</f>
        <v>0</v>
      </c>
      <c r="Y24" s="336">
        <f>(Data!AS21+Data!DF21)/Y$6*100000*Y$3</f>
        <v>3578.4576847378785</v>
      </c>
      <c r="Z24" s="336">
        <f>(Data!AT21+Data!DG21)/Z$6*100000*Z$3</f>
        <v>19650.667280516082</v>
      </c>
      <c r="AA24" s="336">
        <f>(Data!AU21+Data!DH21)/AA$6*100000*AA$3</f>
        <v>0</v>
      </c>
      <c r="AB24" s="336">
        <f>(Data!AV21+Data!DI21)/AB$6*100000*AB$3</f>
        <v>7080.2904942042751</v>
      </c>
      <c r="AC24" s="336">
        <f>(Data!AW21+Data!DJ21)/AC$6*100000*AC$3</f>
        <v>10104.898469829659</v>
      </c>
      <c r="AD24" s="336">
        <f>(Data!AX21+Data!DK21)/AD$6*100000*AD$3</f>
        <v>31084.585598067431</v>
      </c>
      <c r="AE24" s="336">
        <f>(Data!AY21+Data!DL21)/AE$6*100000*AE$3</f>
        <v>39392.418835203687</v>
      </c>
      <c r="AF24" s="336">
        <f>(Data!AZ21+Data!DM21)/AF$6*100000*AF$3</f>
        <v>14650.81253406314</v>
      </c>
      <c r="AG24" s="336">
        <f>(Data!BA21+Data!DN21)/AG$6*100000*AG$3</f>
        <v>16522.212048823134</v>
      </c>
      <c r="AH24" s="336">
        <f>(Data!BB21+Data!DO21)/AH$6*100000*AH$3</f>
        <v>36493.298157848723</v>
      </c>
      <c r="AI24" s="336">
        <f>(Data!BC21+Data!DP21)/AI$6*100000*AI$3</f>
        <v>33184.280606276807</v>
      </c>
      <c r="AJ24" s="336">
        <f>(Data!BD21+Data!DQ21)/AJ$6*100000*AJ$3</f>
        <v>10473.397570171765</v>
      </c>
      <c r="AK24" s="336">
        <f>(Data!BE21+Data!DR21)/AK$6*100000*AK$3</f>
        <v>18587.648507566722</v>
      </c>
      <c r="AL24" s="338" t="s">
        <v>353</v>
      </c>
      <c r="AM24" s="336">
        <f t="shared" si="5"/>
        <v>163691.98282060664</v>
      </c>
      <c r="AN24" s="336">
        <f>(Data!AN21+Data!DA21)/AN$6*100000*AN$3</f>
        <v>0</v>
      </c>
      <c r="AO24" s="336">
        <f>(Data!AO21+Data!DB21)/AO$6*100000*AO$3</f>
        <v>0</v>
      </c>
      <c r="AP24" s="336">
        <f>(Data!AP21+Data!DC21)/AP$6*100000*AP$3</f>
        <v>0</v>
      </c>
      <c r="AQ24" s="336">
        <f>(Data!AQ21+Data!DD21)/AQ$6*100000*AQ$3</f>
        <v>0</v>
      </c>
      <c r="AR24" s="336">
        <f>(Data!AR21+Data!DE21)/AR$6*100000*AR$3</f>
        <v>0</v>
      </c>
      <c r="AS24" s="336">
        <f>(Data!AS21+Data!DF21)/AS$6*100000*AS$3</f>
        <v>4089.6659254147185</v>
      </c>
      <c r="AT24" s="336">
        <f>(Data!AT21+Data!DG21)/AT$6*100000*AT$3</f>
        <v>16843.429097585213</v>
      </c>
      <c r="AU24" s="336">
        <f>(Data!AU21+Data!DH21)/AU$6*100000*AU$3</f>
        <v>0</v>
      </c>
      <c r="AV24" s="336">
        <f>(Data!AV21+Data!DI21)/AV$6*100000*AV$3</f>
        <v>6068.8204236036645</v>
      </c>
      <c r="AW24" s="336">
        <f>(Data!AW21+Data!DJ21)/AW$6*100000*AW$3</f>
        <v>8661.3415455682789</v>
      </c>
      <c r="AX24" s="336">
        <f>(Data!AX21+Data!DK21)/AX$6*100000*AX$3</f>
        <v>22203.275427191023</v>
      </c>
      <c r="AY24" s="336">
        <f>(Data!AY21+Data!DL21)/AY$6*100000*AY$3</f>
        <v>26261.612556802458</v>
      </c>
      <c r="AZ24" s="336">
        <f>(Data!AZ21+Data!DM21)/AZ$6*100000*AZ$3</f>
        <v>11720.650027250513</v>
      </c>
      <c r="BA24" s="336">
        <f>(Data!BA21+Data!DN21)/BA$6*100000*BA$3</f>
        <v>12391.659036617351</v>
      </c>
      <c r="BB24" s="336">
        <f>(Data!BB21+Data!DO21)/BB$6*100000*BB$3</f>
        <v>24328.865438565812</v>
      </c>
      <c r="BC24" s="336">
        <f>(Data!BC21+Data!DP21)/BC$6*100000*BC$3</f>
        <v>16592.140303138403</v>
      </c>
      <c r="BD24" s="336">
        <f>(Data!BD21+Data!DQ21)/BD$6*100000*BD$3</f>
        <v>5236.6987850858823</v>
      </c>
      <c r="BE24" s="336">
        <f>(Data!BE21+Data!DR21)/BE$6*100000*BE$3</f>
        <v>9293.8242537833612</v>
      </c>
    </row>
    <row r="25" spans="1:388" ht="12" customHeight="1">
      <c r="A25" s="30"/>
      <c r="B25" s="150" t="str">
        <f>UPPER(LEFT(TRIM(Data!B22),1)) &amp; MID(TRIM(Data!B22),2,50)</f>
        <v>Kiti odos piktybiniai navikai</v>
      </c>
      <c r="C25" s="129" t="str">
        <f>Data!C22</f>
        <v>C44</v>
      </c>
      <c r="D25" s="142">
        <f>Data!E22+Data!BR22</f>
        <v>45</v>
      </c>
      <c r="E25" s="131">
        <f t="shared" si="6"/>
        <v>1.5491013490951528</v>
      </c>
      <c r="F25" s="132">
        <f t="shared" si="7"/>
        <v>0.83131236324109192</v>
      </c>
      <c r="G25" s="133">
        <f t="shared" si="8"/>
        <v>0.51340394291494829</v>
      </c>
      <c r="H25" s="58"/>
      <c r="I25" s="58"/>
      <c r="J25" s="58"/>
      <c r="K25" s="58"/>
      <c r="L25" s="58"/>
      <c r="M25" s="58"/>
      <c r="N25" s="58"/>
      <c r="O25" s="58"/>
      <c r="P25" s="60"/>
      <c r="Q25" s="317"/>
      <c r="R25" s="338" t="s">
        <v>353</v>
      </c>
      <c r="S25" s="336">
        <f t="shared" si="4"/>
        <v>83131.236324109195</v>
      </c>
      <c r="T25" s="336">
        <f>(Data!AN22+Data!DA22)/T$6*100000*T$3</f>
        <v>0</v>
      </c>
      <c r="U25" s="336">
        <f>(Data!AO22+Data!DB22)/U$6*100000*U$3</f>
        <v>0</v>
      </c>
      <c r="V25" s="336">
        <f>(Data!AP22+Data!DC22)/V$6*100000*V$3</f>
        <v>0</v>
      </c>
      <c r="W25" s="336">
        <f>(Data!AQ22+Data!DD22)/W$6*100000*W$3</f>
        <v>0</v>
      </c>
      <c r="X25" s="336">
        <f>(Data!AR22+Data!DE22)/X$6*100000*X$3</f>
        <v>0</v>
      </c>
      <c r="Y25" s="336">
        <f>(Data!AS22+Data!DF22)/Y$6*100000*Y$3</f>
        <v>0</v>
      </c>
      <c r="Z25" s="336">
        <f>(Data!AT22+Data!DG22)/Z$6*100000*Z$3</f>
        <v>0</v>
      </c>
      <c r="AA25" s="336">
        <f>(Data!AU22+Data!DH22)/AA$6*100000*AA$3</f>
        <v>3969.3340591544188</v>
      </c>
      <c r="AB25" s="336">
        <f>(Data!AV22+Data!DI22)/AB$6*100000*AB$3</f>
        <v>0</v>
      </c>
      <c r="AC25" s="336">
        <f>(Data!AW22+Data!DJ22)/AC$6*100000*AC$3</f>
        <v>6736.5989798864402</v>
      </c>
      <c r="AD25" s="336">
        <f>(Data!AX22+Data!DK22)/AD$6*100000*AD$3</f>
        <v>3108.4585598067429</v>
      </c>
      <c r="AE25" s="336">
        <f>(Data!AY22+Data!DL22)/AE$6*100000*AE$3</f>
        <v>5627.4884050290993</v>
      </c>
      <c r="AF25" s="336">
        <f>(Data!AZ22+Data!DM22)/AF$6*100000*AF$3</f>
        <v>5860.3250136252564</v>
      </c>
      <c r="AG25" s="336">
        <f>(Data!BA22+Data!DN22)/AG$6*100000*AG$3</f>
        <v>2753.7020081371898</v>
      </c>
      <c r="AH25" s="336">
        <f>(Data!BB22+Data!DO22)/AH$6*100000*AH$3</f>
        <v>11404.155674327725</v>
      </c>
      <c r="AI25" s="336">
        <f>(Data!BC22+Data!DP22)/AI$6*100000*AI$3</f>
        <v>9955.284181883042</v>
      </c>
      <c r="AJ25" s="336">
        <f>(Data!BD22+Data!DQ22)/AJ$6*100000*AJ$3</f>
        <v>15128.240934692547</v>
      </c>
      <c r="AK25" s="336">
        <f>(Data!BE22+Data!DR22)/AK$6*100000*AK$3</f>
        <v>18587.648507566722</v>
      </c>
      <c r="AL25" s="338" t="s">
        <v>353</v>
      </c>
      <c r="AM25" s="336">
        <f t="shared" si="5"/>
        <v>51340.394291494827</v>
      </c>
      <c r="AN25" s="336">
        <f>(Data!AN22+Data!DA22)/AN$6*100000*AN$3</f>
        <v>0</v>
      </c>
      <c r="AO25" s="336">
        <f>(Data!AO22+Data!DB22)/AO$6*100000*AO$3</f>
        <v>0</v>
      </c>
      <c r="AP25" s="336">
        <f>(Data!AP22+Data!DC22)/AP$6*100000*AP$3</f>
        <v>0</v>
      </c>
      <c r="AQ25" s="336">
        <f>(Data!AQ22+Data!DD22)/AQ$6*100000*AQ$3</f>
        <v>0</v>
      </c>
      <c r="AR25" s="336">
        <f>(Data!AR22+Data!DE22)/AR$6*100000*AR$3</f>
        <v>0</v>
      </c>
      <c r="AS25" s="336">
        <f>(Data!AS22+Data!DF22)/AS$6*100000*AS$3</f>
        <v>0</v>
      </c>
      <c r="AT25" s="336">
        <f>(Data!AT22+Data!DG22)/AT$6*100000*AT$3</f>
        <v>0</v>
      </c>
      <c r="AU25" s="336">
        <f>(Data!AU22+Data!DH22)/AU$6*100000*AU$3</f>
        <v>3402.286336418073</v>
      </c>
      <c r="AV25" s="336">
        <f>(Data!AV22+Data!DI22)/AV$6*100000*AV$3</f>
        <v>0</v>
      </c>
      <c r="AW25" s="336">
        <f>(Data!AW22+Data!DJ22)/AW$6*100000*AW$3</f>
        <v>5774.2276970455196</v>
      </c>
      <c r="AX25" s="336">
        <f>(Data!AX22+Data!DK22)/AX$6*100000*AX$3</f>
        <v>2220.327542719102</v>
      </c>
      <c r="AY25" s="336">
        <f>(Data!AY22+Data!DL22)/AY$6*100000*AY$3</f>
        <v>3751.6589366860658</v>
      </c>
      <c r="AZ25" s="336">
        <f>(Data!AZ22+Data!DM22)/AZ$6*100000*AZ$3</f>
        <v>4688.2600109002051</v>
      </c>
      <c r="BA25" s="336">
        <f>(Data!BA22+Data!DN22)/BA$6*100000*BA$3</f>
        <v>2065.2765061028922</v>
      </c>
      <c r="BB25" s="336">
        <f>(Data!BB22+Data!DO22)/BB$6*100000*BB$3</f>
        <v>7602.7704495518165</v>
      </c>
      <c r="BC25" s="336">
        <f>(Data!BC22+Data!DP22)/BC$6*100000*BC$3</f>
        <v>4977.642090941521</v>
      </c>
      <c r="BD25" s="336">
        <f>(Data!BD22+Data!DQ22)/BD$6*100000*BD$3</f>
        <v>7564.1204673462735</v>
      </c>
      <c r="BE25" s="336">
        <f>(Data!BE22+Data!DR22)/BE$6*100000*BE$3</f>
        <v>9293.8242537833612</v>
      </c>
    </row>
    <row r="26" spans="1:388" s="221" customFormat="1" ht="12" customHeight="1">
      <c r="A26" s="30"/>
      <c r="B26" s="151" t="str">
        <f>UPPER(LEFT(TRIM(Data!B23),1)) &amp; MID(TRIM(Data!B23),2,50)</f>
        <v>Krūties</v>
      </c>
      <c r="C26" s="145" t="str">
        <f>Data!C23</f>
        <v>C50</v>
      </c>
      <c r="D26" s="146">
        <f>Data!E23+Data!BR23</f>
        <v>575</v>
      </c>
      <c r="E26" s="153">
        <f t="shared" ref="E26" si="9">D26/$S$6*100000</f>
        <v>19.794072793993617</v>
      </c>
      <c r="F26" s="154">
        <f t="shared" ref="F26" si="10">S26/$S$3</f>
        <v>13.50958479076165</v>
      </c>
      <c r="G26" s="148">
        <f t="shared" ref="G26" si="11">AM26/$AM$3</f>
        <v>9.3872935704574001</v>
      </c>
      <c r="H26" s="58"/>
      <c r="I26" s="58"/>
      <c r="J26" s="58"/>
      <c r="K26" s="58"/>
      <c r="L26" s="58"/>
      <c r="M26" s="58"/>
      <c r="N26" s="58"/>
      <c r="O26" s="58"/>
      <c r="P26" s="60"/>
      <c r="Q26" s="339"/>
      <c r="R26" s="338" t="s">
        <v>353</v>
      </c>
      <c r="S26" s="336">
        <f t="shared" ref="S26" si="12">SUM(T26:AK26)</f>
        <v>1350958.479076165</v>
      </c>
      <c r="T26" s="336">
        <f>(Data!AN23+Data!DA23)/T$6*100000*T$3</f>
        <v>0</v>
      </c>
      <c r="U26" s="336">
        <f>(Data!AO23+Data!DB23)/U$6*100000*U$3</f>
        <v>0</v>
      </c>
      <c r="V26" s="336">
        <f>(Data!AP23+Data!DC23)/V$6*100000*V$3</f>
        <v>0</v>
      </c>
      <c r="W26" s="336">
        <f>(Data!AQ23+Data!DD23)/W$6*100000*W$3</f>
        <v>0</v>
      </c>
      <c r="X26" s="336">
        <f>(Data!AR23+Data!DE23)/X$6*100000*X$3</f>
        <v>0</v>
      </c>
      <c r="Y26" s="336">
        <f>(Data!AS23+Data!DF23)/Y$6*100000*Y$3</f>
        <v>3578.4576847378785</v>
      </c>
      <c r="Z26" s="336">
        <f>(Data!AT23+Data!DG23)/Z$6*100000*Z$3</f>
        <v>23580.800736619301</v>
      </c>
      <c r="AA26" s="336">
        <f>(Data!AU23+Data!DH23)/AA$6*100000*AA$3</f>
        <v>35724.006532389765</v>
      </c>
      <c r="AB26" s="336">
        <f>(Data!AV23+Data!DI23)/AB$6*100000*AB$3</f>
        <v>67262.759694940629</v>
      </c>
      <c r="AC26" s="336">
        <f>(Data!AW23+Data!DJ23)/AC$6*100000*AC$3</f>
        <v>87575.786738523733</v>
      </c>
      <c r="AD26" s="336">
        <f>(Data!AX23+Data!DK23)/AD$6*100000*AD$3</f>
        <v>124338.34239226973</v>
      </c>
      <c r="AE26" s="336">
        <f>(Data!AY23+Data!DL23)/AE$6*100000*AE$3</f>
        <v>154755.93113830022</v>
      </c>
      <c r="AF26" s="336">
        <f>(Data!AZ23+Data!DM23)/AF$6*100000*AF$3</f>
        <v>181670.07542238291</v>
      </c>
      <c r="AG26" s="336">
        <f>(Data!BA23+Data!DN23)/AG$6*100000*AG$3</f>
        <v>190005.43856146606</v>
      </c>
      <c r="AH26" s="336">
        <f>(Data!BB23+Data!DO23)/AH$6*100000*AH$3</f>
        <v>180185.65965437805</v>
      </c>
      <c r="AI26" s="336">
        <f>(Data!BC23+Data!DP23)/AI$6*100000*AI$3</f>
        <v>106189.69794008578</v>
      </c>
      <c r="AJ26" s="336">
        <f>(Data!BD23+Data!DQ23)/AJ$6*100000*AJ$3</f>
        <v>86114.602243634508</v>
      </c>
      <c r="AK26" s="336">
        <f>(Data!BE23+Data!DR23)/AK$6*100000*AK$3</f>
        <v>109976.92033643644</v>
      </c>
      <c r="AL26" s="338" t="s">
        <v>353</v>
      </c>
      <c r="AM26" s="336">
        <f t="shared" ref="AM26" si="13">SUM(AN26:BE26)</f>
        <v>938729.35704574001</v>
      </c>
      <c r="AN26" s="336">
        <f>(Data!AN23+Data!DA23)/AN$6*100000*AN$3</f>
        <v>0</v>
      </c>
      <c r="AO26" s="336">
        <f>(Data!AO23+Data!DB23)/AO$6*100000*AO$3</f>
        <v>0</v>
      </c>
      <c r="AP26" s="336">
        <f>(Data!AP23+Data!DC23)/AP$6*100000*AP$3</f>
        <v>0</v>
      </c>
      <c r="AQ26" s="336">
        <f>(Data!AQ23+Data!DD23)/AQ$6*100000*AQ$3</f>
        <v>0</v>
      </c>
      <c r="AR26" s="336">
        <f>(Data!AR23+Data!DE23)/AR$6*100000*AR$3</f>
        <v>0</v>
      </c>
      <c r="AS26" s="336">
        <f>(Data!AS23+Data!DF23)/AS$6*100000*AS$3</f>
        <v>4089.6659254147185</v>
      </c>
      <c r="AT26" s="336">
        <f>(Data!AT23+Data!DG23)/AT$6*100000*AT$3</f>
        <v>20212.114917102255</v>
      </c>
      <c r="AU26" s="336">
        <f>(Data!AU23+Data!DH23)/AU$6*100000*AU$3</f>
        <v>30620.577027762654</v>
      </c>
      <c r="AV26" s="336">
        <f>(Data!AV23+Data!DI23)/AV$6*100000*AV$3</f>
        <v>57653.794024234834</v>
      </c>
      <c r="AW26" s="336">
        <f>(Data!AW23+Data!DJ23)/AW$6*100000*AW$3</f>
        <v>75064.960061591759</v>
      </c>
      <c r="AX26" s="336">
        <f>(Data!AX23+Data!DK23)/AX$6*100000*AX$3</f>
        <v>88813.101708764094</v>
      </c>
      <c r="AY26" s="336">
        <f>(Data!AY23+Data!DL23)/AY$6*100000*AY$3</f>
        <v>103170.62075886682</v>
      </c>
      <c r="AZ26" s="336">
        <f>(Data!AZ23+Data!DM23)/AZ$6*100000*AZ$3</f>
        <v>145336.06033790633</v>
      </c>
      <c r="BA26" s="336">
        <f>(Data!BA23+Data!DN23)/BA$6*100000*BA$3</f>
        <v>142504.07892109954</v>
      </c>
      <c r="BB26" s="336">
        <f>(Data!BB23+Data!DO23)/BB$6*100000*BB$3</f>
        <v>120123.7731029187</v>
      </c>
      <c r="BC26" s="336">
        <f>(Data!BC23+Data!DP23)/BC$6*100000*BC$3</f>
        <v>53094.848970042891</v>
      </c>
      <c r="BD26" s="336">
        <f>(Data!BD23+Data!DQ23)/BD$6*100000*BD$3</f>
        <v>43057.301121817254</v>
      </c>
      <c r="BE26" s="336">
        <f>(Data!BE23+Data!DR23)/BE$6*100000*BE$3</f>
        <v>54988.460168218218</v>
      </c>
    </row>
    <row r="27" spans="1:388" s="214" customFormat="1" ht="12" customHeight="1">
      <c r="A27" s="30"/>
      <c r="B27" s="151" t="str">
        <f>UPPER(LEFT(TRIM(Data!B24),1)) &amp; MID(TRIM(Data!B24),2,50)</f>
        <v>Vulvos</v>
      </c>
      <c r="C27" s="145" t="str">
        <f>Data!C24</f>
        <v>C51</v>
      </c>
      <c r="D27" s="146">
        <f>Lent10m!D25</f>
        <v>19</v>
      </c>
      <c r="E27" s="153">
        <f>Lent10m!E25</f>
        <v>1.212525000350994</v>
      </c>
      <c r="F27" s="154">
        <f>Lent10m!F25</f>
        <v>0.58582172203385052</v>
      </c>
      <c r="G27" s="148">
        <f>Lent10m!G25</f>
        <v>0.39328313499784373</v>
      </c>
      <c r="H27" s="58"/>
      <c r="I27" s="58"/>
      <c r="J27" s="58"/>
      <c r="K27" s="58"/>
      <c r="L27" s="58"/>
      <c r="M27" s="58"/>
      <c r="N27" s="58"/>
      <c r="O27" s="58"/>
      <c r="P27" s="58"/>
      <c r="Q27" s="340"/>
      <c r="R27" s="341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1"/>
      <c r="AM27" s="342"/>
      <c r="AN27" s="342"/>
      <c r="AO27" s="342"/>
      <c r="AP27" s="342"/>
      <c r="AQ27" s="342"/>
      <c r="AR27" s="342"/>
      <c r="AS27" s="342"/>
      <c r="AT27" s="342"/>
      <c r="AU27" s="342"/>
      <c r="AV27" s="342"/>
      <c r="AW27" s="342"/>
      <c r="AX27" s="342"/>
      <c r="AY27" s="342"/>
      <c r="AZ27" s="342"/>
      <c r="BA27" s="342"/>
      <c r="BB27" s="342"/>
      <c r="BC27" s="342"/>
      <c r="BD27" s="342"/>
      <c r="BE27" s="342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  <c r="IU27" s="78"/>
      <c r="IV27" s="78"/>
      <c r="IW27" s="78"/>
      <c r="IX27" s="78"/>
      <c r="IY27" s="78"/>
      <c r="IZ27" s="78"/>
      <c r="JA27" s="78"/>
      <c r="JB27" s="78"/>
      <c r="JC27" s="78"/>
      <c r="JD27" s="78"/>
      <c r="JE27" s="78"/>
      <c r="JF27" s="78"/>
      <c r="JG27" s="78"/>
      <c r="JH27" s="78"/>
      <c r="JI27" s="78"/>
      <c r="JJ27" s="78"/>
      <c r="JK27" s="78"/>
      <c r="JL27" s="78"/>
      <c r="JM27" s="78"/>
      <c r="JN27" s="78"/>
      <c r="JO27" s="78"/>
      <c r="JP27" s="78"/>
      <c r="JQ27" s="78"/>
      <c r="JR27" s="78"/>
      <c r="JS27" s="78"/>
      <c r="JT27" s="78"/>
      <c r="JU27" s="78"/>
      <c r="JV27" s="78"/>
      <c r="JW27" s="78"/>
      <c r="JX27" s="78"/>
      <c r="JY27" s="78"/>
      <c r="JZ27" s="78"/>
      <c r="KA27" s="78"/>
      <c r="KB27" s="78"/>
      <c r="KC27" s="78"/>
      <c r="KD27" s="78"/>
      <c r="KE27" s="78"/>
      <c r="KF27" s="78"/>
      <c r="KG27" s="78"/>
      <c r="KH27" s="78"/>
      <c r="KI27" s="78"/>
      <c r="KJ27" s="78"/>
      <c r="KK27" s="78"/>
      <c r="KL27" s="78"/>
      <c r="KM27" s="78"/>
      <c r="KN27" s="78"/>
      <c r="KO27" s="78"/>
      <c r="KP27" s="78"/>
      <c r="KQ27" s="78"/>
      <c r="KR27" s="78"/>
      <c r="KS27" s="78"/>
      <c r="KT27" s="78"/>
      <c r="KU27" s="78"/>
      <c r="KV27" s="78"/>
      <c r="KW27" s="78"/>
      <c r="KX27" s="78"/>
      <c r="KY27" s="78"/>
      <c r="KZ27" s="78"/>
      <c r="LA27" s="78"/>
      <c r="LB27" s="78"/>
      <c r="LC27" s="78"/>
      <c r="LD27" s="78"/>
      <c r="LE27" s="78"/>
      <c r="LF27" s="78"/>
      <c r="LG27" s="78"/>
      <c r="LH27" s="78"/>
      <c r="LI27" s="78"/>
      <c r="LJ27" s="78"/>
      <c r="LK27" s="78"/>
      <c r="LL27" s="78"/>
      <c r="LM27" s="78"/>
      <c r="LN27" s="78"/>
      <c r="LO27" s="78"/>
      <c r="LP27" s="78"/>
      <c r="LQ27" s="78"/>
      <c r="LR27" s="78"/>
      <c r="LS27" s="78"/>
      <c r="LT27" s="78"/>
      <c r="LU27" s="78"/>
      <c r="LV27" s="78"/>
      <c r="LW27" s="78"/>
      <c r="LX27" s="78"/>
      <c r="LY27" s="78"/>
      <c r="LZ27" s="78"/>
      <c r="MA27" s="78"/>
      <c r="MB27" s="78"/>
      <c r="MC27" s="78"/>
      <c r="MD27" s="78"/>
      <c r="ME27" s="78"/>
      <c r="MF27" s="78"/>
      <c r="MG27" s="78"/>
      <c r="MH27" s="78"/>
      <c r="MI27" s="78"/>
      <c r="MJ27" s="78"/>
      <c r="MK27" s="78"/>
      <c r="ML27" s="78"/>
      <c r="MM27" s="78"/>
      <c r="MN27" s="78"/>
      <c r="MO27" s="78"/>
      <c r="MP27" s="78"/>
      <c r="MQ27" s="78"/>
      <c r="MR27" s="78"/>
      <c r="MS27" s="78"/>
      <c r="MT27" s="78"/>
      <c r="MU27" s="78"/>
      <c r="MV27" s="78"/>
      <c r="MW27" s="78"/>
      <c r="MX27" s="78"/>
      <c r="MY27" s="78"/>
      <c r="MZ27" s="78"/>
      <c r="NA27" s="78"/>
      <c r="NB27" s="78"/>
      <c r="NC27" s="78"/>
      <c r="ND27" s="78"/>
      <c r="NE27" s="78"/>
      <c r="NF27" s="78"/>
      <c r="NG27" s="78"/>
      <c r="NH27" s="78"/>
      <c r="NI27" s="78"/>
      <c r="NJ27" s="78"/>
      <c r="NK27" s="78"/>
      <c r="NL27" s="78"/>
      <c r="NM27" s="78"/>
      <c r="NN27" s="78"/>
      <c r="NO27" s="78"/>
      <c r="NP27" s="78"/>
      <c r="NQ27" s="78"/>
      <c r="NR27" s="78"/>
      <c r="NS27" s="78"/>
      <c r="NT27" s="78"/>
      <c r="NU27" s="78"/>
      <c r="NV27" s="78"/>
      <c r="NW27" s="78"/>
      <c r="NX27" s="78"/>
    </row>
    <row r="28" spans="1:388" s="214" customFormat="1" ht="12" customHeight="1">
      <c r="A28" s="30"/>
      <c r="B28" s="151" t="str">
        <f>UPPER(LEFT(TRIM(Data!B25),1)) &amp; MID(TRIM(Data!B25),2,50)</f>
        <v>Gimdos kaklelio</v>
      </c>
      <c r="C28" s="145" t="str">
        <f>Data!C25</f>
        <v>C53</v>
      </c>
      <c r="D28" s="146">
        <f>Lent10m!D26</f>
        <v>207</v>
      </c>
      <c r="E28" s="153">
        <f>Lent10m!E26</f>
        <v>13.210140793297674</v>
      </c>
      <c r="F28" s="154">
        <f>Lent10m!F26</f>
        <v>9.4702490133285018</v>
      </c>
      <c r="G28" s="148">
        <f>Lent10m!G26</f>
        <v>7.0008838216808034</v>
      </c>
      <c r="H28" s="58"/>
      <c r="I28" s="58"/>
      <c r="J28" s="58"/>
      <c r="K28" s="58"/>
      <c r="L28" s="58"/>
      <c r="M28" s="58"/>
      <c r="N28" s="58"/>
      <c r="O28" s="58"/>
      <c r="P28" s="58"/>
      <c r="Q28" s="340"/>
      <c r="R28" s="341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1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42"/>
      <c r="AY28" s="342"/>
      <c r="AZ28" s="342"/>
      <c r="BA28" s="342"/>
      <c r="BB28" s="342"/>
      <c r="BC28" s="342"/>
      <c r="BD28" s="342"/>
      <c r="BE28" s="342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  <c r="IU28" s="78"/>
      <c r="IV28" s="78"/>
      <c r="IW28" s="78"/>
      <c r="IX28" s="78"/>
      <c r="IY28" s="78"/>
      <c r="IZ28" s="78"/>
      <c r="JA28" s="78"/>
      <c r="JB28" s="78"/>
      <c r="JC28" s="78"/>
      <c r="JD28" s="78"/>
      <c r="JE28" s="78"/>
      <c r="JF28" s="78"/>
      <c r="JG28" s="78"/>
      <c r="JH28" s="78"/>
      <c r="JI28" s="78"/>
      <c r="JJ28" s="78"/>
      <c r="JK28" s="78"/>
      <c r="JL28" s="78"/>
      <c r="JM28" s="78"/>
      <c r="JN28" s="78"/>
      <c r="JO28" s="78"/>
      <c r="JP28" s="78"/>
      <c r="JQ28" s="78"/>
      <c r="JR28" s="78"/>
      <c r="JS28" s="78"/>
      <c r="JT28" s="78"/>
      <c r="JU28" s="78"/>
      <c r="JV28" s="78"/>
      <c r="JW28" s="78"/>
      <c r="JX28" s="78"/>
      <c r="JY28" s="78"/>
      <c r="JZ28" s="78"/>
      <c r="KA28" s="78"/>
      <c r="KB28" s="78"/>
      <c r="KC28" s="78"/>
      <c r="KD28" s="78"/>
      <c r="KE28" s="78"/>
      <c r="KF28" s="78"/>
      <c r="KG28" s="78"/>
      <c r="KH28" s="78"/>
      <c r="KI28" s="78"/>
      <c r="KJ28" s="78"/>
      <c r="KK28" s="78"/>
      <c r="KL28" s="78"/>
      <c r="KM28" s="78"/>
      <c r="KN28" s="78"/>
      <c r="KO28" s="78"/>
      <c r="KP28" s="78"/>
      <c r="KQ28" s="78"/>
      <c r="KR28" s="78"/>
      <c r="KS28" s="78"/>
      <c r="KT28" s="78"/>
      <c r="KU28" s="78"/>
      <c r="KV28" s="78"/>
      <c r="KW28" s="78"/>
      <c r="KX28" s="78"/>
      <c r="KY28" s="78"/>
      <c r="KZ28" s="78"/>
      <c r="LA28" s="78"/>
      <c r="LB28" s="78"/>
      <c r="LC28" s="78"/>
      <c r="LD28" s="78"/>
      <c r="LE28" s="78"/>
      <c r="LF28" s="78"/>
      <c r="LG28" s="78"/>
      <c r="LH28" s="78"/>
      <c r="LI28" s="78"/>
      <c r="LJ28" s="78"/>
      <c r="LK28" s="78"/>
      <c r="LL28" s="78"/>
      <c r="LM28" s="78"/>
      <c r="LN28" s="78"/>
      <c r="LO28" s="78"/>
      <c r="LP28" s="78"/>
      <c r="LQ28" s="78"/>
      <c r="LR28" s="78"/>
      <c r="LS28" s="78"/>
      <c r="LT28" s="78"/>
      <c r="LU28" s="78"/>
      <c r="LV28" s="78"/>
      <c r="LW28" s="78"/>
      <c r="LX28" s="78"/>
      <c r="LY28" s="78"/>
      <c r="LZ28" s="78"/>
      <c r="MA28" s="78"/>
      <c r="MB28" s="78"/>
      <c r="MC28" s="78"/>
      <c r="MD28" s="78"/>
      <c r="ME28" s="78"/>
      <c r="MF28" s="78"/>
      <c r="MG28" s="78"/>
      <c r="MH28" s="78"/>
      <c r="MI28" s="78"/>
      <c r="MJ28" s="78"/>
      <c r="MK28" s="78"/>
      <c r="ML28" s="78"/>
      <c r="MM28" s="78"/>
      <c r="MN28" s="78"/>
      <c r="MO28" s="78"/>
      <c r="MP28" s="78"/>
      <c r="MQ28" s="78"/>
      <c r="MR28" s="78"/>
      <c r="MS28" s="78"/>
      <c r="MT28" s="78"/>
      <c r="MU28" s="78"/>
      <c r="MV28" s="78"/>
      <c r="MW28" s="78"/>
      <c r="MX28" s="78"/>
      <c r="MY28" s="78"/>
      <c r="MZ28" s="78"/>
      <c r="NA28" s="78"/>
      <c r="NB28" s="78"/>
      <c r="NC28" s="78"/>
      <c r="ND28" s="78"/>
      <c r="NE28" s="78"/>
      <c r="NF28" s="78"/>
      <c r="NG28" s="78"/>
      <c r="NH28" s="78"/>
      <c r="NI28" s="78"/>
      <c r="NJ28" s="78"/>
      <c r="NK28" s="78"/>
      <c r="NL28" s="78"/>
      <c r="NM28" s="78"/>
      <c r="NN28" s="78"/>
      <c r="NO28" s="78"/>
      <c r="NP28" s="78"/>
      <c r="NQ28" s="78"/>
      <c r="NR28" s="78"/>
      <c r="NS28" s="78"/>
      <c r="NT28" s="78"/>
      <c r="NU28" s="78"/>
      <c r="NV28" s="78"/>
      <c r="NW28" s="78"/>
      <c r="NX28" s="78"/>
    </row>
    <row r="29" spans="1:388" s="214" customFormat="1" ht="12" customHeight="1">
      <c r="A29" s="30"/>
      <c r="B29" s="151" t="str">
        <f>UPPER(LEFT(TRIM(Data!B26),1)) &amp; MID(TRIM(Data!B26),2,50)</f>
        <v>Gimdos kūno</v>
      </c>
      <c r="C29" s="145" t="str">
        <f>Data!C26</f>
        <v>C54, C55</v>
      </c>
      <c r="D29" s="146">
        <f>Lent10m!D27</f>
        <v>153</v>
      </c>
      <c r="E29" s="153">
        <f>Lent10m!E27</f>
        <v>9.7640171080895843</v>
      </c>
      <c r="F29" s="154">
        <f>Lent10m!F27</f>
        <v>5.1811148397831523</v>
      </c>
      <c r="G29" s="148">
        <f>Lent10m!G27</f>
        <v>3.4969847491365029</v>
      </c>
      <c r="H29" s="58"/>
      <c r="I29" s="58"/>
      <c r="J29" s="58"/>
      <c r="K29" s="58"/>
      <c r="L29" s="58"/>
      <c r="M29" s="58"/>
      <c r="N29" s="58"/>
      <c r="O29" s="58"/>
      <c r="P29" s="58"/>
      <c r="Q29" s="340"/>
      <c r="R29" s="341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1"/>
      <c r="AM29" s="342"/>
      <c r="AN29" s="342"/>
      <c r="AO29" s="342"/>
      <c r="AP29" s="342"/>
      <c r="AQ29" s="342"/>
      <c r="AR29" s="342"/>
      <c r="AS29" s="342"/>
      <c r="AT29" s="342"/>
      <c r="AU29" s="342"/>
      <c r="AV29" s="342"/>
      <c r="AW29" s="342"/>
      <c r="AX29" s="342"/>
      <c r="AY29" s="342"/>
      <c r="AZ29" s="342"/>
      <c r="BA29" s="342"/>
      <c r="BB29" s="342"/>
      <c r="BC29" s="342"/>
      <c r="BD29" s="342"/>
      <c r="BE29" s="342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  <c r="IU29" s="78"/>
      <c r="IV29" s="78"/>
      <c r="IW29" s="78"/>
      <c r="IX29" s="78"/>
      <c r="IY29" s="78"/>
      <c r="IZ29" s="78"/>
      <c r="JA29" s="78"/>
      <c r="JB29" s="78"/>
      <c r="JC29" s="78"/>
      <c r="JD29" s="78"/>
      <c r="JE29" s="78"/>
      <c r="JF29" s="78"/>
      <c r="JG29" s="78"/>
      <c r="JH29" s="78"/>
      <c r="JI29" s="78"/>
      <c r="JJ29" s="78"/>
      <c r="JK29" s="78"/>
      <c r="JL29" s="78"/>
      <c r="JM29" s="78"/>
      <c r="JN29" s="78"/>
      <c r="JO29" s="78"/>
      <c r="JP29" s="78"/>
      <c r="JQ29" s="78"/>
      <c r="JR29" s="78"/>
      <c r="JS29" s="78"/>
      <c r="JT29" s="78"/>
      <c r="JU29" s="78"/>
      <c r="JV29" s="78"/>
      <c r="JW29" s="78"/>
      <c r="JX29" s="78"/>
      <c r="JY29" s="78"/>
      <c r="JZ29" s="78"/>
      <c r="KA29" s="78"/>
      <c r="KB29" s="78"/>
      <c r="KC29" s="78"/>
      <c r="KD29" s="78"/>
      <c r="KE29" s="78"/>
      <c r="KF29" s="78"/>
      <c r="KG29" s="78"/>
      <c r="KH29" s="78"/>
      <c r="KI29" s="78"/>
      <c r="KJ29" s="78"/>
      <c r="KK29" s="78"/>
      <c r="KL29" s="78"/>
      <c r="KM29" s="78"/>
      <c r="KN29" s="78"/>
      <c r="KO29" s="78"/>
      <c r="KP29" s="78"/>
      <c r="KQ29" s="78"/>
      <c r="KR29" s="78"/>
      <c r="KS29" s="78"/>
      <c r="KT29" s="78"/>
      <c r="KU29" s="78"/>
      <c r="KV29" s="78"/>
      <c r="KW29" s="78"/>
      <c r="KX29" s="78"/>
      <c r="KY29" s="78"/>
      <c r="KZ29" s="78"/>
      <c r="LA29" s="78"/>
      <c r="LB29" s="78"/>
      <c r="LC29" s="78"/>
      <c r="LD29" s="78"/>
      <c r="LE29" s="78"/>
      <c r="LF29" s="78"/>
      <c r="LG29" s="78"/>
      <c r="LH29" s="78"/>
      <c r="LI29" s="78"/>
      <c r="LJ29" s="78"/>
      <c r="LK29" s="78"/>
      <c r="LL29" s="78"/>
      <c r="LM29" s="78"/>
      <c r="LN29" s="78"/>
      <c r="LO29" s="78"/>
      <c r="LP29" s="78"/>
      <c r="LQ29" s="78"/>
      <c r="LR29" s="78"/>
      <c r="LS29" s="78"/>
      <c r="LT29" s="78"/>
      <c r="LU29" s="78"/>
      <c r="LV29" s="78"/>
      <c r="LW29" s="78"/>
      <c r="LX29" s="78"/>
      <c r="LY29" s="78"/>
      <c r="LZ29" s="78"/>
      <c r="MA29" s="78"/>
      <c r="MB29" s="78"/>
      <c r="MC29" s="78"/>
      <c r="MD29" s="78"/>
      <c r="ME29" s="78"/>
      <c r="MF29" s="78"/>
      <c r="MG29" s="78"/>
      <c r="MH29" s="78"/>
      <c r="MI29" s="78"/>
      <c r="MJ29" s="78"/>
      <c r="MK29" s="78"/>
      <c r="ML29" s="78"/>
      <c r="MM29" s="78"/>
      <c r="MN29" s="78"/>
      <c r="MO29" s="78"/>
      <c r="MP29" s="78"/>
      <c r="MQ29" s="78"/>
      <c r="MR29" s="78"/>
      <c r="MS29" s="78"/>
      <c r="MT29" s="78"/>
      <c r="MU29" s="78"/>
      <c r="MV29" s="78"/>
      <c r="MW29" s="78"/>
      <c r="MX29" s="78"/>
      <c r="MY29" s="78"/>
      <c r="MZ29" s="78"/>
      <c r="NA29" s="78"/>
      <c r="NB29" s="78"/>
      <c r="NC29" s="78"/>
      <c r="ND29" s="78"/>
      <c r="NE29" s="78"/>
      <c r="NF29" s="78"/>
      <c r="NG29" s="78"/>
      <c r="NH29" s="78"/>
      <c r="NI29" s="78"/>
      <c r="NJ29" s="78"/>
      <c r="NK29" s="78"/>
      <c r="NL29" s="78"/>
      <c r="NM29" s="78"/>
      <c r="NN29" s="78"/>
      <c r="NO29" s="78"/>
      <c r="NP29" s="78"/>
      <c r="NQ29" s="78"/>
      <c r="NR29" s="78"/>
      <c r="NS29" s="78"/>
      <c r="NT29" s="78"/>
      <c r="NU29" s="78"/>
      <c r="NV29" s="78"/>
      <c r="NW29" s="78"/>
      <c r="NX29" s="78"/>
    </row>
    <row r="30" spans="1:388" s="214" customFormat="1" ht="12" customHeight="1">
      <c r="A30" s="30"/>
      <c r="B30" s="151" t="str">
        <f>UPPER(LEFT(TRIM(Data!B27),1)) &amp; MID(TRIM(Data!B27),2,50)</f>
        <v>Kiaušidžių</v>
      </c>
      <c r="C30" s="145" t="str">
        <f>Data!C27</f>
        <v>C56</v>
      </c>
      <c r="D30" s="146">
        <f>Lent10m!D28</f>
        <v>278</v>
      </c>
      <c r="E30" s="153">
        <f>Lent10m!E28</f>
        <v>17.74115526829349</v>
      </c>
      <c r="F30" s="154">
        <f>Lent10m!F28</f>
        <v>10.785075205784812</v>
      </c>
      <c r="G30" s="148">
        <f>Lent10m!G28</f>
        <v>7.5262426912198377</v>
      </c>
      <c r="H30" s="58"/>
      <c r="I30" s="58"/>
      <c r="J30" s="58"/>
      <c r="K30" s="58"/>
      <c r="L30" s="58"/>
      <c r="M30" s="58"/>
      <c r="N30" s="58"/>
      <c r="O30" s="58"/>
      <c r="P30" s="58"/>
      <c r="Q30" s="340"/>
      <c r="R30" s="341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1"/>
      <c r="AM30" s="342"/>
      <c r="AN30" s="342"/>
      <c r="AO30" s="342"/>
      <c r="AP30" s="342"/>
      <c r="AQ30" s="342"/>
      <c r="AR30" s="342"/>
      <c r="AS30" s="342"/>
      <c r="AT30" s="342"/>
      <c r="AU30" s="342"/>
      <c r="AV30" s="342"/>
      <c r="AW30" s="342"/>
      <c r="AX30" s="342"/>
      <c r="AY30" s="342"/>
      <c r="AZ30" s="342"/>
      <c r="BA30" s="342"/>
      <c r="BB30" s="342"/>
      <c r="BC30" s="342"/>
      <c r="BD30" s="342"/>
      <c r="BE30" s="342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  <c r="IV30" s="78"/>
      <c r="IW30" s="78"/>
      <c r="IX30" s="78"/>
      <c r="IY30" s="78"/>
      <c r="IZ30" s="78"/>
      <c r="JA30" s="78"/>
      <c r="JB30" s="78"/>
      <c r="JC30" s="78"/>
      <c r="JD30" s="78"/>
      <c r="JE30" s="78"/>
      <c r="JF30" s="78"/>
      <c r="JG30" s="78"/>
      <c r="JH30" s="78"/>
      <c r="JI30" s="78"/>
      <c r="JJ30" s="78"/>
      <c r="JK30" s="78"/>
      <c r="JL30" s="78"/>
      <c r="JM30" s="78"/>
      <c r="JN30" s="78"/>
      <c r="JO30" s="78"/>
      <c r="JP30" s="78"/>
      <c r="JQ30" s="78"/>
      <c r="JR30" s="78"/>
      <c r="JS30" s="78"/>
      <c r="JT30" s="78"/>
      <c r="JU30" s="78"/>
      <c r="JV30" s="78"/>
      <c r="JW30" s="78"/>
      <c r="JX30" s="78"/>
      <c r="JY30" s="78"/>
      <c r="JZ30" s="78"/>
      <c r="KA30" s="78"/>
      <c r="KB30" s="78"/>
      <c r="KC30" s="78"/>
      <c r="KD30" s="78"/>
      <c r="KE30" s="78"/>
      <c r="KF30" s="78"/>
      <c r="KG30" s="78"/>
      <c r="KH30" s="78"/>
      <c r="KI30" s="78"/>
      <c r="KJ30" s="78"/>
      <c r="KK30" s="78"/>
      <c r="KL30" s="78"/>
      <c r="KM30" s="78"/>
      <c r="KN30" s="78"/>
      <c r="KO30" s="78"/>
      <c r="KP30" s="78"/>
      <c r="KQ30" s="78"/>
      <c r="KR30" s="78"/>
      <c r="KS30" s="78"/>
      <c r="KT30" s="78"/>
      <c r="KU30" s="78"/>
      <c r="KV30" s="78"/>
      <c r="KW30" s="78"/>
      <c r="KX30" s="78"/>
      <c r="KY30" s="78"/>
      <c r="KZ30" s="78"/>
      <c r="LA30" s="78"/>
      <c r="LB30" s="78"/>
      <c r="LC30" s="78"/>
      <c r="LD30" s="78"/>
      <c r="LE30" s="78"/>
      <c r="LF30" s="78"/>
      <c r="LG30" s="78"/>
      <c r="LH30" s="78"/>
      <c r="LI30" s="78"/>
      <c r="LJ30" s="78"/>
      <c r="LK30" s="78"/>
      <c r="LL30" s="78"/>
      <c r="LM30" s="78"/>
      <c r="LN30" s="78"/>
      <c r="LO30" s="78"/>
      <c r="LP30" s="78"/>
      <c r="LQ30" s="78"/>
      <c r="LR30" s="78"/>
      <c r="LS30" s="78"/>
      <c r="LT30" s="78"/>
      <c r="LU30" s="78"/>
      <c r="LV30" s="78"/>
      <c r="LW30" s="78"/>
      <c r="LX30" s="78"/>
      <c r="LY30" s="78"/>
      <c r="LZ30" s="78"/>
      <c r="MA30" s="78"/>
      <c r="MB30" s="78"/>
      <c r="MC30" s="78"/>
      <c r="MD30" s="78"/>
      <c r="ME30" s="78"/>
      <c r="MF30" s="78"/>
      <c r="MG30" s="78"/>
      <c r="MH30" s="78"/>
      <c r="MI30" s="78"/>
      <c r="MJ30" s="78"/>
      <c r="MK30" s="78"/>
      <c r="ML30" s="78"/>
      <c r="MM30" s="78"/>
      <c r="MN30" s="78"/>
      <c r="MO30" s="78"/>
      <c r="MP30" s="78"/>
      <c r="MQ30" s="78"/>
      <c r="MR30" s="78"/>
      <c r="MS30" s="78"/>
      <c r="MT30" s="78"/>
      <c r="MU30" s="78"/>
      <c r="MV30" s="78"/>
      <c r="MW30" s="78"/>
      <c r="MX30" s="78"/>
      <c r="MY30" s="78"/>
      <c r="MZ30" s="78"/>
      <c r="NA30" s="78"/>
      <c r="NB30" s="78"/>
      <c r="NC30" s="78"/>
      <c r="ND30" s="78"/>
      <c r="NE30" s="78"/>
      <c r="NF30" s="78"/>
      <c r="NG30" s="78"/>
      <c r="NH30" s="78"/>
      <c r="NI30" s="78"/>
      <c r="NJ30" s="78"/>
      <c r="NK30" s="78"/>
      <c r="NL30" s="78"/>
      <c r="NM30" s="78"/>
      <c r="NN30" s="78"/>
      <c r="NO30" s="78"/>
      <c r="NP30" s="78"/>
      <c r="NQ30" s="78"/>
      <c r="NR30" s="78"/>
      <c r="NS30" s="78"/>
      <c r="NT30" s="78"/>
      <c r="NU30" s="78"/>
      <c r="NV30" s="78"/>
      <c r="NW30" s="78"/>
      <c r="NX30" s="78"/>
    </row>
    <row r="31" spans="1:388" s="213" customFormat="1" ht="12" customHeight="1">
      <c r="A31" s="30"/>
      <c r="B31" s="151" t="str">
        <f>UPPER(LEFT(TRIM(Data!B28),1)) &amp; MID(TRIM(Data!B28),2,50)</f>
        <v>Priešinės liaukos</v>
      </c>
      <c r="C31" s="145" t="str">
        <f>Data!C28</f>
        <v>C61</v>
      </c>
      <c r="D31" s="146">
        <f>Lent10v!D25</f>
        <v>544</v>
      </c>
      <c r="E31" s="153">
        <f>Lent10v!E25</f>
        <v>40.659764472334913</v>
      </c>
      <c r="F31" s="154">
        <f>Lent10v!F25</f>
        <v>30.944340003335054</v>
      </c>
      <c r="G31" s="148">
        <f>Lent10v!G25</f>
        <v>18.315393034876148</v>
      </c>
      <c r="H31" s="58"/>
      <c r="I31" s="58"/>
      <c r="J31" s="58"/>
      <c r="K31" s="58"/>
      <c r="L31" s="58"/>
      <c r="M31" s="58"/>
      <c r="N31" s="58"/>
      <c r="O31" s="58"/>
      <c r="P31" s="58"/>
      <c r="Q31" s="340"/>
      <c r="R31" s="341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342"/>
      <c r="AK31" s="342"/>
      <c r="AL31" s="341"/>
      <c r="AM31" s="342"/>
      <c r="AN31" s="342"/>
      <c r="AO31" s="342"/>
      <c r="AP31" s="342"/>
      <c r="AQ31" s="342"/>
      <c r="AR31" s="342"/>
      <c r="AS31" s="342"/>
      <c r="AT31" s="342"/>
      <c r="AU31" s="342"/>
      <c r="AV31" s="342"/>
      <c r="AW31" s="342"/>
      <c r="AX31" s="342"/>
      <c r="AY31" s="342"/>
      <c r="AZ31" s="342"/>
      <c r="BA31" s="342"/>
      <c r="BB31" s="342"/>
      <c r="BC31" s="342"/>
      <c r="BD31" s="342"/>
      <c r="BE31" s="342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  <c r="IV31" s="78"/>
      <c r="IW31" s="78"/>
      <c r="IX31" s="78"/>
      <c r="IY31" s="78"/>
      <c r="IZ31" s="78"/>
      <c r="JA31" s="78"/>
      <c r="JB31" s="78"/>
      <c r="JC31" s="78"/>
      <c r="JD31" s="78"/>
      <c r="JE31" s="78"/>
      <c r="JF31" s="78"/>
      <c r="JG31" s="78"/>
      <c r="JH31" s="78"/>
      <c r="JI31" s="78"/>
      <c r="JJ31" s="78"/>
      <c r="JK31" s="78"/>
      <c r="JL31" s="78"/>
      <c r="JM31" s="78"/>
      <c r="JN31" s="78"/>
      <c r="JO31" s="78"/>
      <c r="JP31" s="78"/>
      <c r="JQ31" s="78"/>
      <c r="JR31" s="78"/>
      <c r="JS31" s="78"/>
      <c r="JT31" s="78"/>
      <c r="JU31" s="78"/>
      <c r="JV31" s="78"/>
      <c r="JW31" s="78"/>
      <c r="JX31" s="78"/>
      <c r="JY31" s="78"/>
      <c r="JZ31" s="78"/>
      <c r="KA31" s="78"/>
      <c r="KB31" s="78"/>
      <c r="KC31" s="78"/>
      <c r="KD31" s="78"/>
      <c r="KE31" s="78"/>
      <c r="KF31" s="78"/>
      <c r="KG31" s="78"/>
      <c r="KH31" s="78"/>
      <c r="KI31" s="78"/>
      <c r="KJ31" s="78"/>
      <c r="KK31" s="78"/>
      <c r="KL31" s="78"/>
      <c r="KM31" s="78"/>
      <c r="KN31" s="78"/>
      <c r="KO31" s="78"/>
      <c r="KP31" s="78"/>
      <c r="KQ31" s="78"/>
      <c r="KR31" s="78"/>
      <c r="KS31" s="78"/>
      <c r="KT31" s="78"/>
      <c r="KU31" s="78"/>
      <c r="KV31" s="78"/>
      <c r="KW31" s="78"/>
      <c r="KX31" s="78"/>
      <c r="KY31" s="78"/>
      <c r="KZ31" s="78"/>
      <c r="LA31" s="78"/>
      <c r="LB31" s="78"/>
      <c r="LC31" s="78"/>
      <c r="LD31" s="78"/>
      <c r="LE31" s="78"/>
      <c r="LF31" s="78"/>
      <c r="LG31" s="78"/>
      <c r="LH31" s="78"/>
      <c r="LI31" s="78"/>
      <c r="LJ31" s="78"/>
      <c r="LK31" s="78"/>
      <c r="LL31" s="78"/>
      <c r="LM31" s="78"/>
      <c r="LN31" s="78"/>
      <c r="LO31" s="78"/>
      <c r="LP31" s="78"/>
      <c r="LQ31" s="78"/>
      <c r="LR31" s="78"/>
      <c r="LS31" s="78"/>
      <c r="LT31" s="78"/>
      <c r="LU31" s="78"/>
      <c r="LV31" s="78"/>
      <c r="LW31" s="78"/>
      <c r="LX31" s="78"/>
      <c r="LY31" s="78"/>
      <c r="LZ31" s="78"/>
      <c r="MA31" s="78"/>
      <c r="MB31" s="78"/>
      <c r="MC31" s="78"/>
      <c r="MD31" s="78"/>
      <c r="ME31" s="78"/>
      <c r="MF31" s="78"/>
      <c r="MG31" s="78"/>
      <c r="MH31" s="78"/>
      <c r="MI31" s="78"/>
      <c r="MJ31" s="78"/>
      <c r="MK31" s="78"/>
      <c r="ML31" s="78"/>
      <c r="MM31" s="78"/>
      <c r="MN31" s="78"/>
      <c r="MO31" s="78"/>
      <c r="MP31" s="78"/>
      <c r="MQ31" s="78"/>
      <c r="MR31" s="78"/>
      <c r="MS31" s="78"/>
      <c r="MT31" s="78"/>
      <c r="MU31" s="78"/>
      <c r="MV31" s="78"/>
      <c r="MW31" s="78"/>
      <c r="MX31" s="78"/>
      <c r="MY31" s="78"/>
      <c r="MZ31" s="78"/>
      <c r="NA31" s="78"/>
      <c r="NB31" s="78"/>
      <c r="NC31" s="78"/>
      <c r="ND31" s="78"/>
      <c r="NE31" s="78"/>
      <c r="NF31" s="78"/>
      <c r="NG31" s="78"/>
      <c r="NH31" s="78"/>
      <c r="NI31" s="78"/>
      <c r="NJ31" s="78"/>
      <c r="NK31" s="78"/>
      <c r="NL31" s="78"/>
      <c r="NM31" s="78"/>
      <c r="NN31" s="78"/>
      <c r="NO31" s="78"/>
      <c r="NP31" s="78"/>
      <c r="NQ31" s="78"/>
      <c r="NR31" s="78"/>
      <c r="NS31" s="78"/>
      <c r="NT31" s="78"/>
      <c r="NU31" s="78"/>
      <c r="NV31" s="78"/>
      <c r="NW31" s="78"/>
      <c r="NX31" s="78"/>
    </row>
    <row r="32" spans="1:388" s="213" customFormat="1" ht="12" customHeight="1">
      <c r="A32" s="30"/>
      <c r="B32" s="151" t="str">
        <f>UPPER(LEFT(TRIM(Data!B29),1)) &amp; MID(TRIM(Data!B29),2,50)</f>
        <v>Sėklidžių</v>
      </c>
      <c r="C32" s="145" t="str">
        <f>Data!C29</f>
        <v>C62</v>
      </c>
      <c r="D32" s="146">
        <f>Lent10v!D26</f>
        <v>6</v>
      </c>
      <c r="E32" s="153">
        <f>Lent10v!E26</f>
        <v>0.44845328462134099</v>
      </c>
      <c r="F32" s="154">
        <f>Lent10v!F26</f>
        <v>0.42264325248520807</v>
      </c>
      <c r="G32" s="148">
        <f>Lent10v!G26</f>
        <v>0.41634024508913736</v>
      </c>
      <c r="H32" s="58"/>
      <c r="I32" s="58"/>
      <c r="J32" s="58"/>
      <c r="K32" s="58"/>
      <c r="L32" s="58"/>
      <c r="M32" s="58"/>
      <c r="N32" s="58"/>
      <c r="O32" s="58"/>
      <c r="P32" s="58"/>
      <c r="Q32" s="340"/>
      <c r="R32" s="341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342"/>
      <c r="AL32" s="341"/>
      <c r="AM32" s="342"/>
      <c r="AN32" s="342"/>
      <c r="AO32" s="342"/>
      <c r="AP32" s="342"/>
      <c r="AQ32" s="342"/>
      <c r="AR32" s="342"/>
      <c r="AS32" s="342"/>
      <c r="AT32" s="342"/>
      <c r="AU32" s="342"/>
      <c r="AV32" s="342"/>
      <c r="AW32" s="342"/>
      <c r="AX32" s="342"/>
      <c r="AY32" s="342"/>
      <c r="AZ32" s="342"/>
      <c r="BA32" s="342"/>
      <c r="BB32" s="342"/>
      <c r="BC32" s="342"/>
      <c r="BD32" s="342"/>
      <c r="BE32" s="342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  <c r="IU32" s="78"/>
      <c r="IV32" s="78"/>
      <c r="IW32" s="78"/>
      <c r="IX32" s="78"/>
      <c r="IY32" s="78"/>
      <c r="IZ32" s="78"/>
      <c r="JA32" s="78"/>
      <c r="JB32" s="78"/>
      <c r="JC32" s="78"/>
      <c r="JD32" s="78"/>
      <c r="JE32" s="78"/>
      <c r="JF32" s="78"/>
      <c r="JG32" s="78"/>
      <c r="JH32" s="78"/>
      <c r="JI32" s="78"/>
      <c r="JJ32" s="78"/>
      <c r="JK32" s="78"/>
      <c r="JL32" s="78"/>
      <c r="JM32" s="78"/>
      <c r="JN32" s="78"/>
      <c r="JO32" s="78"/>
      <c r="JP32" s="78"/>
      <c r="JQ32" s="78"/>
      <c r="JR32" s="78"/>
      <c r="JS32" s="78"/>
      <c r="JT32" s="78"/>
      <c r="JU32" s="78"/>
      <c r="JV32" s="78"/>
      <c r="JW32" s="78"/>
      <c r="JX32" s="78"/>
      <c r="JY32" s="78"/>
      <c r="JZ32" s="78"/>
      <c r="KA32" s="78"/>
      <c r="KB32" s="78"/>
      <c r="KC32" s="78"/>
      <c r="KD32" s="78"/>
      <c r="KE32" s="78"/>
      <c r="KF32" s="78"/>
      <c r="KG32" s="78"/>
      <c r="KH32" s="78"/>
      <c r="KI32" s="78"/>
      <c r="KJ32" s="78"/>
      <c r="KK32" s="78"/>
      <c r="KL32" s="78"/>
      <c r="KM32" s="78"/>
      <c r="KN32" s="78"/>
      <c r="KO32" s="78"/>
      <c r="KP32" s="78"/>
      <c r="KQ32" s="78"/>
      <c r="KR32" s="78"/>
      <c r="KS32" s="78"/>
      <c r="KT32" s="78"/>
      <c r="KU32" s="78"/>
      <c r="KV32" s="78"/>
      <c r="KW32" s="78"/>
      <c r="KX32" s="78"/>
      <c r="KY32" s="78"/>
      <c r="KZ32" s="78"/>
      <c r="LA32" s="78"/>
      <c r="LB32" s="78"/>
      <c r="LC32" s="78"/>
      <c r="LD32" s="78"/>
      <c r="LE32" s="78"/>
      <c r="LF32" s="78"/>
      <c r="LG32" s="78"/>
      <c r="LH32" s="78"/>
      <c r="LI32" s="78"/>
      <c r="LJ32" s="78"/>
      <c r="LK32" s="78"/>
      <c r="LL32" s="78"/>
      <c r="LM32" s="78"/>
      <c r="LN32" s="78"/>
      <c r="LO32" s="78"/>
      <c r="LP32" s="78"/>
      <c r="LQ32" s="78"/>
      <c r="LR32" s="78"/>
      <c r="LS32" s="78"/>
      <c r="LT32" s="78"/>
      <c r="LU32" s="78"/>
      <c r="LV32" s="78"/>
      <c r="LW32" s="78"/>
      <c r="LX32" s="78"/>
      <c r="LY32" s="78"/>
      <c r="LZ32" s="78"/>
      <c r="MA32" s="78"/>
      <c r="MB32" s="78"/>
      <c r="MC32" s="78"/>
      <c r="MD32" s="78"/>
      <c r="ME32" s="78"/>
      <c r="MF32" s="78"/>
      <c r="MG32" s="78"/>
      <c r="MH32" s="78"/>
      <c r="MI32" s="78"/>
      <c r="MJ32" s="78"/>
      <c r="MK32" s="78"/>
      <c r="ML32" s="78"/>
      <c r="MM32" s="78"/>
      <c r="MN32" s="78"/>
      <c r="MO32" s="78"/>
      <c r="MP32" s="78"/>
      <c r="MQ32" s="78"/>
      <c r="MR32" s="78"/>
      <c r="MS32" s="78"/>
      <c r="MT32" s="78"/>
      <c r="MU32" s="78"/>
      <c r="MV32" s="78"/>
      <c r="MW32" s="78"/>
      <c r="MX32" s="78"/>
      <c r="MY32" s="78"/>
      <c r="MZ32" s="78"/>
      <c r="NA32" s="78"/>
      <c r="NB32" s="78"/>
      <c r="NC32" s="78"/>
      <c r="ND32" s="78"/>
      <c r="NE32" s="78"/>
      <c r="NF32" s="78"/>
      <c r="NG32" s="78"/>
      <c r="NH32" s="78"/>
      <c r="NI32" s="78"/>
      <c r="NJ32" s="78"/>
      <c r="NK32" s="78"/>
      <c r="NL32" s="78"/>
      <c r="NM32" s="78"/>
      <c r="NN32" s="78"/>
      <c r="NO32" s="78"/>
      <c r="NP32" s="78"/>
      <c r="NQ32" s="78"/>
      <c r="NR32" s="78"/>
      <c r="NS32" s="78"/>
      <c r="NT32" s="78"/>
      <c r="NU32" s="78"/>
      <c r="NV32" s="78"/>
      <c r="NW32" s="78"/>
      <c r="NX32" s="78"/>
    </row>
    <row r="33" spans="1:57" ht="12" customHeight="1">
      <c r="A33" s="30"/>
      <c r="B33" s="151" t="str">
        <f>UPPER(LEFT(TRIM(Data!B30),1)) &amp; MID(TRIM(Data!B30),2,50)</f>
        <v>Kitų lyties organų</v>
      </c>
      <c r="C33" s="145" t="str">
        <f>Data!C30</f>
        <v>C52, C57-C58, C60, C63</v>
      </c>
      <c r="D33" s="146">
        <f>Data!E30+Data!BR30</f>
        <v>32</v>
      </c>
      <c r="E33" s="153">
        <f t="shared" si="6"/>
        <v>1.1015831815787751</v>
      </c>
      <c r="F33" s="154">
        <f t="shared" si="7"/>
        <v>0.64019228804649286</v>
      </c>
      <c r="G33" s="148">
        <f t="shared" si="8"/>
        <v>0.42262216886619886</v>
      </c>
      <c r="H33" s="58"/>
      <c r="I33" s="58"/>
      <c r="J33" s="58"/>
      <c r="K33" s="58"/>
      <c r="L33" s="58"/>
      <c r="M33" s="58"/>
      <c r="N33" s="58"/>
      <c r="O33" s="58"/>
      <c r="P33" s="58"/>
      <c r="Q33" s="317"/>
      <c r="R33" s="338" t="s">
        <v>353</v>
      </c>
      <c r="S33" s="336">
        <f t="shared" si="4"/>
        <v>64019.22880464929</v>
      </c>
      <c r="T33" s="336">
        <f>(Data!AN30+Data!DA30)/T$6*100000*T$3</f>
        <v>0</v>
      </c>
      <c r="U33" s="336">
        <f>(Data!AO30+Data!DB30)/U$6*100000*U$3</f>
        <v>0</v>
      </c>
      <c r="V33" s="336">
        <f>(Data!AP30+Data!DC30)/V$6*100000*V$3</f>
        <v>0</v>
      </c>
      <c r="W33" s="336">
        <f>(Data!AQ30+Data!DD30)/W$6*100000*W$3</f>
        <v>0</v>
      </c>
      <c r="X33" s="336">
        <f>(Data!AR30+Data!DE30)/X$6*100000*X$3</f>
        <v>0</v>
      </c>
      <c r="Y33" s="336">
        <f>(Data!AS30+Data!DF30)/Y$6*100000*Y$3</f>
        <v>0</v>
      </c>
      <c r="Z33" s="336">
        <f>(Data!AT30+Data!DG30)/Z$6*100000*Z$3</f>
        <v>0</v>
      </c>
      <c r="AA33" s="336">
        <f>(Data!AU30+Data!DH30)/AA$6*100000*AA$3</f>
        <v>0</v>
      </c>
      <c r="AB33" s="336">
        <f>(Data!AV30+Data!DI30)/AB$6*100000*AB$3</f>
        <v>0</v>
      </c>
      <c r="AC33" s="336">
        <f>(Data!AW30+Data!DJ30)/AC$6*100000*AC$3</f>
        <v>3368.2994899432201</v>
      </c>
      <c r="AD33" s="336">
        <f>(Data!AX30+Data!DK30)/AD$6*100000*AD$3</f>
        <v>0</v>
      </c>
      <c r="AE33" s="336">
        <f>(Data!AY30+Data!DL30)/AE$6*100000*AE$3</f>
        <v>0</v>
      </c>
      <c r="AF33" s="336">
        <f>(Data!AZ30+Data!DM30)/AF$6*100000*AF$3</f>
        <v>14650.81253406314</v>
      </c>
      <c r="AG33" s="336">
        <f>(Data!BA30+Data!DN30)/AG$6*100000*AG$3</f>
        <v>11014.808032548759</v>
      </c>
      <c r="AH33" s="336">
        <f>(Data!BB30+Data!DO30)/AH$6*100000*AH$3</f>
        <v>11404.155674327725</v>
      </c>
      <c r="AI33" s="336">
        <f>(Data!BC30+Data!DP30)/AI$6*100000*AI$3</f>
        <v>4977.642090941521</v>
      </c>
      <c r="AJ33" s="336">
        <f>(Data!BD30+Data!DQ30)/AJ$6*100000*AJ$3</f>
        <v>9309.6867290415685</v>
      </c>
      <c r="AK33" s="336">
        <f>(Data!BE30+Data!DR30)/AK$6*100000*AK$3</f>
        <v>9293.8242537833612</v>
      </c>
      <c r="AL33" s="338" t="s">
        <v>353</v>
      </c>
      <c r="AM33" s="336">
        <f t="shared" si="5"/>
        <v>42262.216886619884</v>
      </c>
      <c r="AN33" s="336">
        <f>(Data!AN30+Data!DA30)/AN$6*100000*AN$3</f>
        <v>0</v>
      </c>
      <c r="AO33" s="336">
        <f>(Data!AO30+Data!DB30)/AO$6*100000*AO$3</f>
        <v>0</v>
      </c>
      <c r="AP33" s="336">
        <f>(Data!AP30+Data!DC30)/AP$6*100000*AP$3</f>
        <v>0</v>
      </c>
      <c r="AQ33" s="336">
        <f>(Data!AQ30+Data!DD30)/AQ$6*100000*AQ$3</f>
        <v>0</v>
      </c>
      <c r="AR33" s="336">
        <f>(Data!AR30+Data!DE30)/AR$6*100000*AR$3</f>
        <v>0</v>
      </c>
      <c r="AS33" s="336">
        <f>(Data!AS30+Data!DF30)/AS$6*100000*AS$3</f>
        <v>0</v>
      </c>
      <c r="AT33" s="336">
        <f>(Data!AT30+Data!DG30)/AT$6*100000*AT$3</f>
        <v>0</v>
      </c>
      <c r="AU33" s="336">
        <f>(Data!AU30+Data!DH30)/AU$6*100000*AU$3</f>
        <v>0</v>
      </c>
      <c r="AV33" s="336">
        <f>(Data!AV30+Data!DI30)/AV$6*100000*AV$3</f>
        <v>0</v>
      </c>
      <c r="AW33" s="336">
        <f>(Data!AW30+Data!DJ30)/AW$6*100000*AW$3</f>
        <v>2887.1138485227598</v>
      </c>
      <c r="AX33" s="336">
        <f>(Data!AX30+Data!DK30)/AX$6*100000*AX$3</f>
        <v>0</v>
      </c>
      <c r="AY33" s="336">
        <f>(Data!AY30+Data!DL30)/AY$6*100000*AY$3</f>
        <v>0</v>
      </c>
      <c r="AZ33" s="336">
        <f>(Data!AZ30+Data!DM30)/AZ$6*100000*AZ$3</f>
        <v>11720.650027250513</v>
      </c>
      <c r="BA33" s="336">
        <f>(Data!BA30+Data!DN30)/BA$6*100000*BA$3</f>
        <v>8261.1060244115688</v>
      </c>
      <c r="BB33" s="336">
        <f>(Data!BB30+Data!DO30)/BB$6*100000*BB$3</f>
        <v>7602.7704495518165</v>
      </c>
      <c r="BC33" s="336">
        <f>(Data!BC30+Data!DP30)/BC$6*100000*BC$3</f>
        <v>2488.8210454707605</v>
      </c>
      <c r="BD33" s="336">
        <f>(Data!BD30+Data!DQ30)/BD$6*100000*BD$3</f>
        <v>4654.8433645207842</v>
      </c>
      <c r="BE33" s="336">
        <f>(Data!BE30+Data!DR30)/BE$6*100000*BE$3</f>
        <v>4646.9121268916806</v>
      </c>
    </row>
    <row r="34" spans="1:57" ht="12" customHeight="1">
      <c r="A34" s="30"/>
      <c r="B34" s="150" t="str">
        <f>UPPER(LEFT(TRIM(Data!B31),1)) &amp; MID(TRIM(Data!B31),2,50)</f>
        <v>Inkstų</v>
      </c>
      <c r="C34" s="129" t="str">
        <f>Data!C31</f>
        <v>C64</v>
      </c>
      <c r="D34" s="142">
        <f>Data!E31+Data!BR31</f>
        <v>290</v>
      </c>
      <c r="E34" s="131">
        <f t="shared" si="6"/>
        <v>9.9830975830576509</v>
      </c>
      <c r="F34" s="132">
        <f t="shared" si="7"/>
        <v>6.4822619474896301</v>
      </c>
      <c r="G34" s="133">
        <f t="shared" si="8"/>
        <v>4.3974404600861803</v>
      </c>
      <c r="H34" s="58"/>
      <c r="I34" s="58"/>
      <c r="J34" s="58"/>
      <c r="K34" s="58"/>
      <c r="L34" s="58"/>
      <c r="M34" s="58"/>
      <c r="N34" s="58"/>
      <c r="O34" s="58"/>
      <c r="P34" s="58"/>
      <c r="Q34" s="317"/>
      <c r="R34" s="338" t="s">
        <v>353</v>
      </c>
      <c r="S34" s="336">
        <f t="shared" si="4"/>
        <v>648226.194748963</v>
      </c>
      <c r="T34" s="336">
        <f>(Data!AN31+Data!DA31)/T$6*100000*T$3</f>
        <v>0</v>
      </c>
      <c r="U34" s="336">
        <f>(Data!AO31+Data!DB31)/U$6*100000*U$3</f>
        <v>0</v>
      </c>
      <c r="V34" s="336">
        <f>(Data!AP31+Data!DC31)/V$6*100000*V$3</f>
        <v>0</v>
      </c>
      <c r="W34" s="336">
        <f>(Data!AQ31+Data!DD31)/W$6*100000*W$3</f>
        <v>4210.0198472364227</v>
      </c>
      <c r="X34" s="336">
        <f>(Data!AR31+Data!DE31)/X$6*100000*X$3</f>
        <v>0</v>
      </c>
      <c r="Y34" s="336">
        <f>(Data!AS31+Data!DF31)/Y$6*100000*Y$3</f>
        <v>0</v>
      </c>
      <c r="Z34" s="336">
        <f>(Data!AT31+Data!DG31)/Z$6*100000*Z$3</f>
        <v>0</v>
      </c>
      <c r="AA34" s="336">
        <f>(Data!AU31+Data!DH31)/AA$6*100000*AA$3</f>
        <v>7938.6681183088376</v>
      </c>
      <c r="AB34" s="336">
        <f>(Data!AV31+Data!DI31)/AB$6*100000*AB$3</f>
        <v>0</v>
      </c>
      <c r="AC34" s="336">
        <f>(Data!AW31+Data!DJ31)/AC$6*100000*AC$3</f>
        <v>23578.096429602541</v>
      </c>
      <c r="AD34" s="336">
        <f>(Data!AX31+Data!DK31)/AD$6*100000*AD$3</f>
        <v>55952.254076521371</v>
      </c>
      <c r="AE34" s="336">
        <f>(Data!AY31+Data!DL31)/AE$6*100000*AE$3</f>
        <v>47833.651442747338</v>
      </c>
      <c r="AF34" s="336">
        <f>(Data!AZ31+Data!DM31)/AF$6*100000*AF$3</f>
        <v>114276.3377656925</v>
      </c>
      <c r="AG34" s="336">
        <f>(Data!BA31+Data!DN31)/AG$6*100000*AG$3</f>
        <v>143192.50442313385</v>
      </c>
      <c r="AH34" s="336">
        <f>(Data!BB31+Data!DO31)/AH$6*100000*AH$3</f>
        <v>66144.10291110081</v>
      </c>
      <c r="AI34" s="336">
        <f>(Data!BC31+Data!DP31)/AI$6*100000*AI$3</f>
        <v>97893.627788516562</v>
      </c>
      <c r="AJ34" s="336">
        <f>(Data!BD31+Data!DQ31)/AJ$6*100000*AJ$3</f>
        <v>45384.722804077639</v>
      </c>
      <c r="AK34" s="336">
        <f>(Data!BE31+Data!DR31)/AK$6*100000*AK$3</f>
        <v>41822.209142025124</v>
      </c>
      <c r="AL34" s="338" t="s">
        <v>353</v>
      </c>
      <c r="AM34" s="336">
        <f t="shared" si="5"/>
        <v>439744.04600861802</v>
      </c>
      <c r="AN34" s="336">
        <f>(Data!AN31+Data!DA31)/AN$6*100000*AN$3</f>
        <v>0</v>
      </c>
      <c r="AO34" s="336">
        <f>(Data!AO31+Data!DB31)/AO$6*100000*AO$3</f>
        <v>0</v>
      </c>
      <c r="AP34" s="336">
        <f>(Data!AP31+Data!DC31)/AP$6*100000*AP$3</f>
        <v>0</v>
      </c>
      <c r="AQ34" s="336">
        <f>(Data!AQ31+Data!DD31)/AQ$6*100000*AQ$3</f>
        <v>5412.8826607325436</v>
      </c>
      <c r="AR34" s="336">
        <f>(Data!AR31+Data!DE31)/AR$6*100000*AR$3</f>
        <v>0</v>
      </c>
      <c r="AS34" s="336">
        <f>(Data!AS31+Data!DF31)/AS$6*100000*AS$3</f>
        <v>0</v>
      </c>
      <c r="AT34" s="336">
        <f>(Data!AT31+Data!DG31)/AT$6*100000*AT$3</f>
        <v>0</v>
      </c>
      <c r="AU34" s="336">
        <f>(Data!AU31+Data!DH31)/AU$6*100000*AU$3</f>
        <v>6804.572672836146</v>
      </c>
      <c r="AV34" s="336">
        <f>(Data!AV31+Data!DI31)/AV$6*100000*AV$3</f>
        <v>0</v>
      </c>
      <c r="AW34" s="336">
        <f>(Data!AW31+Data!DJ31)/AW$6*100000*AW$3</f>
        <v>20209.796939659322</v>
      </c>
      <c r="AX34" s="336">
        <f>(Data!AX31+Data!DK31)/AX$6*100000*AX$3</f>
        <v>39965.895768943832</v>
      </c>
      <c r="AY34" s="336">
        <f>(Data!AY31+Data!DL31)/AY$6*100000*AY$3</f>
        <v>31889.100961831558</v>
      </c>
      <c r="AZ34" s="336">
        <f>(Data!AZ31+Data!DM31)/AZ$6*100000*AZ$3</f>
        <v>91421.070212553997</v>
      </c>
      <c r="BA34" s="336">
        <f>(Data!BA31+Data!DN31)/BA$6*100000*BA$3</f>
        <v>107394.37831735041</v>
      </c>
      <c r="BB34" s="336">
        <f>(Data!BB31+Data!DO31)/BB$6*100000*BB$3</f>
        <v>44096.068607400543</v>
      </c>
      <c r="BC34" s="336">
        <f>(Data!BC31+Data!DP31)/BC$6*100000*BC$3</f>
        <v>48946.813894258281</v>
      </c>
      <c r="BD34" s="336">
        <f>(Data!BD31+Data!DQ31)/BD$6*100000*BD$3</f>
        <v>22692.36140203882</v>
      </c>
      <c r="BE34" s="336">
        <f>(Data!BE31+Data!DR31)/BE$6*100000*BE$3</f>
        <v>20911.104571012562</v>
      </c>
    </row>
    <row r="35" spans="1:57" ht="12" customHeight="1">
      <c r="A35" s="30"/>
      <c r="B35" s="150" t="str">
        <f>UPPER(LEFT(TRIM(Data!B32),1)) &amp; MID(TRIM(Data!B32),2,50)</f>
        <v>Šlapimo pūslės</v>
      </c>
      <c r="C35" s="129" t="str">
        <f>Data!C32</f>
        <v>C67</v>
      </c>
      <c r="D35" s="142">
        <f>Data!E32+Data!BR32</f>
        <v>234</v>
      </c>
      <c r="E35" s="131">
        <f t="shared" si="6"/>
        <v>8.0553270152947949</v>
      </c>
      <c r="F35" s="132">
        <f t="shared" si="7"/>
        <v>4.4746347516134204</v>
      </c>
      <c r="G35" s="133">
        <f t="shared" si="8"/>
        <v>2.7846877218040378</v>
      </c>
      <c r="H35" s="58"/>
      <c r="I35" s="58"/>
      <c r="J35" s="58"/>
      <c r="K35" s="58"/>
      <c r="L35" s="58"/>
      <c r="M35" s="58"/>
      <c r="N35" s="58"/>
      <c r="O35" s="58"/>
      <c r="P35" s="58"/>
      <c r="Q35" s="317"/>
      <c r="R35" s="338" t="s">
        <v>353</v>
      </c>
      <c r="S35" s="336">
        <f t="shared" si="4"/>
        <v>447463.47516134207</v>
      </c>
      <c r="T35" s="336">
        <f>(Data!AN32+Data!DA32)/T$6*100000*T$3</f>
        <v>0</v>
      </c>
      <c r="U35" s="336">
        <f>(Data!AO32+Data!DB32)/U$6*100000*U$3</f>
        <v>0</v>
      </c>
      <c r="V35" s="336">
        <f>(Data!AP32+Data!DC32)/V$6*100000*V$3</f>
        <v>0</v>
      </c>
      <c r="W35" s="336">
        <f>(Data!AQ32+Data!DD32)/W$6*100000*W$3</f>
        <v>0</v>
      </c>
      <c r="X35" s="336">
        <f>(Data!AR32+Data!DE32)/X$6*100000*X$3</f>
        <v>0</v>
      </c>
      <c r="Y35" s="336">
        <f>(Data!AS32+Data!DF32)/Y$6*100000*Y$3</f>
        <v>0</v>
      </c>
      <c r="Z35" s="336">
        <f>(Data!AT32+Data!DG32)/Z$6*100000*Z$3</f>
        <v>0</v>
      </c>
      <c r="AA35" s="336">
        <f>(Data!AU32+Data!DH32)/AA$6*100000*AA$3</f>
        <v>3969.3340591544188</v>
      </c>
      <c r="AB35" s="336">
        <f>(Data!AV32+Data!DI32)/AB$6*100000*AB$3</f>
        <v>3540.1452471021375</v>
      </c>
      <c r="AC35" s="336">
        <f>(Data!AW32+Data!DJ32)/AC$6*100000*AC$3</f>
        <v>6736.5989798864402</v>
      </c>
      <c r="AD35" s="336">
        <f>(Data!AX32+Data!DK32)/AD$6*100000*AD$3</f>
        <v>15542.292799033716</v>
      </c>
      <c r="AE35" s="336">
        <f>(Data!AY32+Data!DL32)/AE$6*100000*AE$3</f>
        <v>30951.186227660044</v>
      </c>
      <c r="AF35" s="336">
        <f>(Data!AZ32+Data!DM32)/AF$6*100000*AF$3</f>
        <v>52742.925122627297</v>
      </c>
      <c r="AG35" s="336">
        <f>(Data!BA32+Data!DN32)/AG$6*100000*AG$3</f>
        <v>63335.146187155362</v>
      </c>
      <c r="AH35" s="336">
        <f>(Data!BB32+Data!DO32)/AH$6*100000*AH$3</f>
        <v>57020.778371638626</v>
      </c>
      <c r="AI35" s="336">
        <f>(Data!BC32+Data!DP32)/AI$6*100000*AI$3</f>
        <v>77983.059424750492</v>
      </c>
      <c r="AJ35" s="336">
        <f>(Data!BD32+Data!DQ32)/AJ$6*100000*AJ$3</f>
        <v>62840.38542103058</v>
      </c>
      <c r="AK35" s="336">
        <f>(Data!BE32+Data!DR32)/AK$6*100000*AK$3</f>
        <v>72801.623321302977</v>
      </c>
      <c r="AL35" s="338" t="s">
        <v>353</v>
      </c>
      <c r="AM35" s="336">
        <f t="shared" si="5"/>
        <v>278468.77218040376</v>
      </c>
      <c r="AN35" s="336">
        <f>(Data!AN32+Data!DA32)/AN$6*100000*AN$3</f>
        <v>0</v>
      </c>
      <c r="AO35" s="336">
        <f>(Data!AO32+Data!DB32)/AO$6*100000*AO$3</f>
        <v>0</v>
      </c>
      <c r="AP35" s="336">
        <f>(Data!AP32+Data!DC32)/AP$6*100000*AP$3</f>
        <v>0</v>
      </c>
      <c r="AQ35" s="336">
        <f>(Data!AQ32+Data!DD32)/AQ$6*100000*AQ$3</f>
        <v>0</v>
      </c>
      <c r="AR35" s="336">
        <f>(Data!AR32+Data!DE32)/AR$6*100000*AR$3</f>
        <v>0</v>
      </c>
      <c r="AS35" s="336">
        <f>(Data!AS32+Data!DF32)/AS$6*100000*AS$3</f>
        <v>0</v>
      </c>
      <c r="AT35" s="336">
        <f>(Data!AT32+Data!DG32)/AT$6*100000*AT$3</f>
        <v>0</v>
      </c>
      <c r="AU35" s="336">
        <f>(Data!AU32+Data!DH32)/AU$6*100000*AU$3</f>
        <v>3402.286336418073</v>
      </c>
      <c r="AV35" s="336">
        <f>(Data!AV32+Data!DI32)/AV$6*100000*AV$3</f>
        <v>3034.4102118018322</v>
      </c>
      <c r="AW35" s="336">
        <f>(Data!AW32+Data!DJ32)/AW$6*100000*AW$3</f>
        <v>5774.2276970455196</v>
      </c>
      <c r="AX35" s="336">
        <f>(Data!AX32+Data!DK32)/AX$6*100000*AX$3</f>
        <v>11101.637713595512</v>
      </c>
      <c r="AY35" s="336">
        <f>(Data!AY32+Data!DL32)/AY$6*100000*AY$3</f>
        <v>20634.124151773365</v>
      </c>
      <c r="AZ35" s="336">
        <f>(Data!AZ32+Data!DM32)/AZ$6*100000*AZ$3</f>
        <v>42194.340098101842</v>
      </c>
      <c r="BA35" s="336">
        <f>(Data!BA32+Data!DN32)/BA$6*100000*BA$3</f>
        <v>47501.359640366521</v>
      </c>
      <c r="BB35" s="336">
        <f>(Data!BB32+Data!DO32)/BB$6*100000*BB$3</f>
        <v>38013.852247759081</v>
      </c>
      <c r="BC35" s="336">
        <f>(Data!BC32+Data!DP32)/BC$6*100000*BC$3</f>
        <v>38991.529712375246</v>
      </c>
      <c r="BD35" s="336">
        <f>(Data!BD32+Data!DQ32)/BD$6*100000*BD$3</f>
        <v>31420.19271051529</v>
      </c>
      <c r="BE35" s="336">
        <f>(Data!BE32+Data!DR32)/BE$6*100000*BE$3</f>
        <v>36400.811660651489</v>
      </c>
    </row>
    <row r="36" spans="1:57" ht="12" customHeight="1">
      <c r="A36" s="30"/>
      <c r="B36" s="150" t="str">
        <f>UPPER(LEFT(TRIM(Data!B33),1)) &amp; MID(TRIM(Data!B33),2,50)</f>
        <v>Kitų šlapimą išskiriančių organų</v>
      </c>
      <c r="C36" s="129" t="str">
        <f>Data!C33</f>
        <v>C65, C66, C68</v>
      </c>
      <c r="D36" s="142">
        <f>Data!E33+Data!BR33</f>
        <v>30</v>
      </c>
      <c r="E36" s="131">
        <f t="shared" si="6"/>
        <v>1.0327342327301019</v>
      </c>
      <c r="F36" s="132">
        <f t="shared" si="7"/>
        <v>0.61301565757534349</v>
      </c>
      <c r="G36" s="133">
        <f t="shared" si="8"/>
        <v>0.39368489439392695</v>
      </c>
      <c r="H36" s="58"/>
      <c r="I36" s="58"/>
      <c r="J36" s="58"/>
      <c r="K36" s="58"/>
      <c r="L36" s="58"/>
      <c r="M36" s="58"/>
      <c r="N36" s="58"/>
      <c r="O36" s="58"/>
      <c r="P36" s="58"/>
      <c r="Q36" s="317"/>
      <c r="R36" s="338" t="s">
        <v>353</v>
      </c>
      <c r="S36" s="336">
        <f t="shared" si="4"/>
        <v>61301.56575753435</v>
      </c>
      <c r="T36" s="336">
        <f>(Data!AN33+Data!DA33)/T$6*100000*T$3</f>
        <v>0</v>
      </c>
      <c r="U36" s="336">
        <f>(Data!AO33+Data!DB33)/U$6*100000*U$3</f>
        <v>0</v>
      </c>
      <c r="V36" s="336">
        <f>(Data!AP33+Data!DC33)/V$6*100000*V$3</f>
        <v>0</v>
      </c>
      <c r="W36" s="336">
        <f>(Data!AQ33+Data!DD33)/W$6*100000*W$3</f>
        <v>0</v>
      </c>
      <c r="X36" s="336">
        <f>(Data!AR33+Data!DE33)/X$6*100000*X$3</f>
        <v>0</v>
      </c>
      <c r="Y36" s="336">
        <f>(Data!AS33+Data!DF33)/Y$6*100000*Y$3</f>
        <v>0</v>
      </c>
      <c r="Z36" s="336">
        <f>(Data!AT33+Data!DG33)/Z$6*100000*Z$3</f>
        <v>0</v>
      </c>
      <c r="AA36" s="336">
        <f>(Data!AU33+Data!DH33)/AA$6*100000*AA$3</f>
        <v>0</v>
      </c>
      <c r="AB36" s="336">
        <f>(Data!AV33+Data!DI33)/AB$6*100000*AB$3</f>
        <v>3540.1452471021375</v>
      </c>
      <c r="AC36" s="336">
        <f>(Data!AW33+Data!DJ33)/AC$6*100000*AC$3</f>
        <v>0</v>
      </c>
      <c r="AD36" s="336">
        <f>(Data!AX33+Data!DK33)/AD$6*100000*AD$3</f>
        <v>6216.9171196134857</v>
      </c>
      <c r="AE36" s="336">
        <f>(Data!AY33+Data!DL33)/AE$6*100000*AE$3</f>
        <v>2813.7442025145497</v>
      </c>
      <c r="AF36" s="336">
        <f>(Data!AZ33+Data!DM33)/AF$6*100000*AF$3</f>
        <v>5860.3250136252564</v>
      </c>
      <c r="AG36" s="336">
        <f>(Data!BA33+Data!DN33)/AG$6*100000*AG$3</f>
        <v>11014.808032548759</v>
      </c>
      <c r="AH36" s="336">
        <f>(Data!BB33+Data!DO33)/AH$6*100000*AH$3</f>
        <v>6842.4934045966347</v>
      </c>
      <c r="AI36" s="336">
        <f>(Data!BC33+Data!DP33)/AI$6*100000*AI$3</f>
        <v>14932.926272824561</v>
      </c>
      <c r="AJ36" s="336">
        <f>(Data!BD33+Data!DQ33)/AJ$6*100000*AJ$3</f>
        <v>6982.2650467811764</v>
      </c>
      <c r="AK36" s="336">
        <f>(Data!BE33+Data!DR33)/AK$6*100000*AK$3</f>
        <v>3097.9414179277869</v>
      </c>
      <c r="AL36" s="338" t="s">
        <v>353</v>
      </c>
      <c r="AM36" s="336">
        <f t="shared" si="5"/>
        <v>39368.489439392695</v>
      </c>
      <c r="AN36" s="336">
        <f>(Data!AN33+Data!DA33)/AN$6*100000*AN$3</f>
        <v>0</v>
      </c>
      <c r="AO36" s="336">
        <f>(Data!AO33+Data!DB33)/AO$6*100000*AO$3</f>
        <v>0</v>
      </c>
      <c r="AP36" s="336">
        <f>(Data!AP33+Data!DC33)/AP$6*100000*AP$3</f>
        <v>0</v>
      </c>
      <c r="AQ36" s="336">
        <f>(Data!AQ33+Data!DD33)/AQ$6*100000*AQ$3</f>
        <v>0</v>
      </c>
      <c r="AR36" s="336">
        <f>(Data!AR33+Data!DE33)/AR$6*100000*AR$3</f>
        <v>0</v>
      </c>
      <c r="AS36" s="336">
        <f>(Data!AS33+Data!DF33)/AS$6*100000*AS$3</f>
        <v>0</v>
      </c>
      <c r="AT36" s="336">
        <f>(Data!AT33+Data!DG33)/AT$6*100000*AT$3</f>
        <v>0</v>
      </c>
      <c r="AU36" s="336">
        <f>(Data!AU33+Data!DH33)/AU$6*100000*AU$3</f>
        <v>0</v>
      </c>
      <c r="AV36" s="336">
        <f>(Data!AV33+Data!DI33)/AV$6*100000*AV$3</f>
        <v>3034.4102118018322</v>
      </c>
      <c r="AW36" s="336">
        <f>(Data!AW33+Data!DJ33)/AW$6*100000*AW$3</f>
        <v>0</v>
      </c>
      <c r="AX36" s="336">
        <f>(Data!AX33+Data!DK33)/AX$6*100000*AX$3</f>
        <v>4440.655085438204</v>
      </c>
      <c r="AY36" s="336">
        <f>(Data!AY33+Data!DL33)/AY$6*100000*AY$3</f>
        <v>1875.8294683430329</v>
      </c>
      <c r="AZ36" s="336">
        <f>(Data!AZ33+Data!DM33)/AZ$6*100000*AZ$3</f>
        <v>4688.2600109002051</v>
      </c>
      <c r="BA36" s="336">
        <f>(Data!BA33+Data!DN33)/BA$6*100000*BA$3</f>
        <v>8261.1060244115688</v>
      </c>
      <c r="BB36" s="336">
        <f>(Data!BB33+Data!DO33)/BB$6*100000*BB$3</f>
        <v>4561.6622697310904</v>
      </c>
      <c r="BC36" s="336">
        <f>(Data!BC33+Data!DP33)/BC$6*100000*BC$3</f>
        <v>7466.4631364122806</v>
      </c>
      <c r="BD36" s="336">
        <f>(Data!BD33+Data!DQ33)/BD$6*100000*BD$3</f>
        <v>3491.1325233905882</v>
      </c>
      <c r="BE36" s="336">
        <f>(Data!BE33+Data!DR33)/BE$6*100000*BE$3</f>
        <v>1548.9707089638935</v>
      </c>
    </row>
    <row r="37" spans="1:57" ht="12" customHeight="1">
      <c r="A37" s="30"/>
      <c r="B37" s="150" t="str">
        <f>UPPER(LEFT(TRIM(Data!B34),1)) &amp; MID(TRIM(Data!B34),2,50)</f>
        <v>Akių</v>
      </c>
      <c r="C37" s="129" t="str">
        <f>Data!C34</f>
        <v>C69</v>
      </c>
      <c r="D37" s="142">
        <f>Data!E34+Data!BR34</f>
        <v>10</v>
      </c>
      <c r="E37" s="131">
        <f t="shared" si="6"/>
        <v>0.34424474424336726</v>
      </c>
      <c r="F37" s="132">
        <f t="shared" si="7"/>
        <v>0.23823665117139259</v>
      </c>
      <c r="G37" s="133">
        <f t="shared" si="8"/>
        <v>0.16686263024247899</v>
      </c>
      <c r="H37" s="58"/>
      <c r="I37" s="58"/>
      <c r="J37" s="58"/>
      <c r="K37" s="58"/>
      <c r="L37" s="58"/>
      <c r="M37" s="58"/>
      <c r="N37" s="58"/>
      <c r="O37" s="58"/>
      <c r="P37" s="58"/>
      <c r="Q37" s="317"/>
      <c r="R37" s="338" t="s">
        <v>353</v>
      </c>
      <c r="S37" s="336">
        <f t="shared" si="4"/>
        <v>23823.665117139259</v>
      </c>
      <c r="T37" s="336">
        <f>(Data!AN34+Data!DA34)/T$6*100000*T$3</f>
        <v>0</v>
      </c>
      <c r="U37" s="336">
        <f>(Data!AO34+Data!DB34)/U$6*100000*U$3</f>
        <v>0</v>
      </c>
      <c r="V37" s="336">
        <f>(Data!AP34+Data!DC34)/V$6*100000*V$3</f>
        <v>0</v>
      </c>
      <c r="W37" s="336">
        <f>(Data!AQ34+Data!DD34)/W$6*100000*W$3</f>
        <v>0</v>
      </c>
      <c r="X37" s="336">
        <f>(Data!AR34+Data!DE34)/X$6*100000*X$3</f>
        <v>0</v>
      </c>
      <c r="Y37" s="336">
        <f>(Data!AS34+Data!DF34)/Y$6*100000*Y$3</f>
        <v>0</v>
      </c>
      <c r="Z37" s="336">
        <f>(Data!AT34+Data!DG34)/Z$6*100000*Z$3</f>
        <v>0</v>
      </c>
      <c r="AA37" s="336">
        <f>(Data!AU34+Data!DH34)/AA$6*100000*AA$3</f>
        <v>3969.3340591544188</v>
      </c>
      <c r="AB37" s="336">
        <f>(Data!AV34+Data!DI34)/AB$6*100000*AB$3</f>
        <v>3540.1452471021375</v>
      </c>
      <c r="AC37" s="336">
        <f>(Data!AW34+Data!DJ34)/AC$6*100000*AC$3</f>
        <v>0</v>
      </c>
      <c r="AD37" s="336">
        <f>(Data!AX34+Data!DK34)/AD$6*100000*AD$3</f>
        <v>6216.9171196134857</v>
      </c>
      <c r="AE37" s="336">
        <f>(Data!AY34+Data!DL34)/AE$6*100000*AE$3</f>
        <v>0</v>
      </c>
      <c r="AF37" s="336">
        <f>(Data!AZ34+Data!DM34)/AF$6*100000*AF$3</f>
        <v>0</v>
      </c>
      <c r="AG37" s="336">
        <f>(Data!BA34+Data!DN34)/AG$6*100000*AG$3</f>
        <v>0</v>
      </c>
      <c r="AH37" s="336">
        <f>(Data!BB34+Data!DO34)/AH$6*100000*AH$3</f>
        <v>4561.6622697310904</v>
      </c>
      <c r="AI37" s="336">
        <f>(Data!BC34+Data!DP34)/AI$6*100000*AI$3</f>
        <v>1659.2140303138403</v>
      </c>
      <c r="AJ37" s="336">
        <f>(Data!BD34+Data!DQ34)/AJ$6*100000*AJ$3</f>
        <v>2327.4216822603921</v>
      </c>
      <c r="AK37" s="336">
        <f>(Data!BE34+Data!DR34)/AK$6*100000*AK$3</f>
        <v>1548.9707089638935</v>
      </c>
      <c r="AL37" s="338" t="s">
        <v>353</v>
      </c>
      <c r="AM37" s="336">
        <f t="shared" si="5"/>
        <v>16686.263024247899</v>
      </c>
      <c r="AN37" s="336">
        <f>(Data!AN34+Data!DA34)/AN$6*100000*AN$3</f>
        <v>0</v>
      </c>
      <c r="AO37" s="336">
        <f>(Data!AO34+Data!DB34)/AO$6*100000*AO$3</f>
        <v>0</v>
      </c>
      <c r="AP37" s="336">
        <f>(Data!AP34+Data!DC34)/AP$6*100000*AP$3</f>
        <v>0</v>
      </c>
      <c r="AQ37" s="336">
        <f>(Data!AQ34+Data!DD34)/AQ$6*100000*AQ$3</f>
        <v>0</v>
      </c>
      <c r="AR37" s="336">
        <f>(Data!AR34+Data!DE34)/AR$6*100000*AR$3</f>
        <v>0</v>
      </c>
      <c r="AS37" s="336">
        <f>(Data!AS34+Data!DF34)/AS$6*100000*AS$3</f>
        <v>0</v>
      </c>
      <c r="AT37" s="336">
        <f>(Data!AT34+Data!DG34)/AT$6*100000*AT$3</f>
        <v>0</v>
      </c>
      <c r="AU37" s="336">
        <f>(Data!AU34+Data!DH34)/AU$6*100000*AU$3</f>
        <v>3402.286336418073</v>
      </c>
      <c r="AV37" s="336">
        <f>(Data!AV34+Data!DI34)/AV$6*100000*AV$3</f>
        <v>3034.4102118018322</v>
      </c>
      <c r="AW37" s="336">
        <f>(Data!AW34+Data!DJ34)/AW$6*100000*AW$3</f>
        <v>0</v>
      </c>
      <c r="AX37" s="336">
        <f>(Data!AX34+Data!DK34)/AX$6*100000*AX$3</f>
        <v>4440.655085438204</v>
      </c>
      <c r="AY37" s="336">
        <f>(Data!AY34+Data!DL34)/AY$6*100000*AY$3</f>
        <v>0</v>
      </c>
      <c r="AZ37" s="336">
        <f>(Data!AZ34+Data!DM34)/AZ$6*100000*AZ$3</f>
        <v>0</v>
      </c>
      <c r="BA37" s="336">
        <f>(Data!BA34+Data!DN34)/BA$6*100000*BA$3</f>
        <v>0</v>
      </c>
      <c r="BB37" s="336">
        <f>(Data!BB34+Data!DO34)/BB$6*100000*BB$3</f>
        <v>3041.1081798207265</v>
      </c>
      <c r="BC37" s="336">
        <f>(Data!BC34+Data!DP34)/BC$6*100000*BC$3</f>
        <v>829.60701515692017</v>
      </c>
      <c r="BD37" s="336">
        <f>(Data!BD34+Data!DQ34)/BD$6*100000*BD$3</f>
        <v>1163.7108411301961</v>
      </c>
      <c r="BE37" s="336">
        <f>(Data!BE34+Data!DR34)/BE$6*100000*BE$3</f>
        <v>774.48535448194673</v>
      </c>
    </row>
    <row r="38" spans="1:57" ht="12" customHeight="1">
      <c r="A38" s="30"/>
      <c r="B38" s="150" t="str">
        <f>UPPER(LEFT(TRIM(Data!B35),1)) &amp; MID(TRIM(Data!B35),2,50)</f>
        <v>Smegenų</v>
      </c>
      <c r="C38" s="129" t="str">
        <f>Data!C35</f>
        <v>C70-C72</v>
      </c>
      <c r="D38" s="142">
        <f>Data!E35+Data!BR35</f>
        <v>237</v>
      </c>
      <c r="E38" s="131">
        <f t="shared" si="6"/>
        <v>8.1586004385678041</v>
      </c>
      <c r="F38" s="132">
        <f t="shared" si="7"/>
        <v>6.2778098526128776</v>
      </c>
      <c r="G38" s="133">
        <f t="shared" si="8"/>
        <v>4.8439924510101156</v>
      </c>
      <c r="H38" s="58"/>
      <c r="I38" s="58"/>
      <c r="J38" s="58"/>
      <c r="K38" s="58"/>
      <c r="L38" s="58"/>
      <c r="M38" s="58"/>
      <c r="N38" s="58"/>
      <c r="O38" s="58"/>
      <c r="P38" s="58"/>
      <c r="Q38" s="317"/>
      <c r="R38" s="338" t="s">
        <v>353</v>
      </c>
      <c r="S38" s="336">
        <f t="shared" si="4"/>
        <v>627780.98526128777</v>
      </c>
      <c r="T38" s="336">
        <f>(Data!AN35+Data!DA35)/T$6*100000*T$3</f>
        <v>10597.149366820326</v>
      </c>
      <c r="U38" s="336">
        <f>(Data!AO35+Data!DB35)/U$6*100000*U$3</f>
        <v>10044.410644205451</v>
      </c>
      <c r="V38" s="336">
        <f>(Data!AP35+Data!DC35)/V$6*100000*V$3</f>
        <v>15643.623361144219</v>
      </c>
      <c r="W38" s="336">
        <f>(Data!AQ35+Data!DD35)/W$6*100000*W$3</f>
        <v>4210.0198472364227</v>
      </c>
      <c r="X38" s="336">
        <f>(Data!AR35+Data!DE35)/X$6*100000*X$3</f>
        <v>3473.6868223209194</v>
      </c>
      <c r="Y38" s="336">
        <f>(Data!AS35+Data!DF35)/Y$6*100000*Y$3</f>
        <v>14313.830738951514</v>
      </c>
      <c r="Z38" s="336">
        <f>(Data!AT35+Data!DG35)/Z$6*100000*Z$3</f>
        <v>15720.533824412867</v>
      </c>
      <c r="AA38" s="336">
        <f>(Data!AU35+Data!DH35)/AA$6*100000*AA$3</f>
        <v>27785.338414080928</v>
      </c>
      <c r="AB38" s="336">
        <f>(Data!AV35+Data!DI35)/AB$6*100000*AB$3</f>
        <v>28321.1619768171</v>
      </c>
      <c r="AC38" s="336">
        <f>(Data!AW35+Data!DJ35)/AC$6*100000*AC$3</f>
        <v>40419.593879318636</v>
      </c>
      <c r="AD38" s="336">
        <f>(Data!AX35+Data!DK35)/AD$6*100000*AD$3</f>
        <v>49735.336956907886</v>
      </c>
      <c r="AE38" s="336">
        <f>(Data!AY35+Data!DL35)/AE$6*100000*AE$3</f>
        <v>81598.581872921932</v>
      </c>
      <c r="AF38" s="336">
        <f>(Data!AZ35+Data!DM35)/AF$6*100000*AF$3</f>
        <v>64463.575149877805</v>
      </c>
      <c r="AG38" s="336">
        <f>(Data!BA35+Data!DN35)/AG$6*100000*AG$3</f>
        <v>118409.18634989914</v>
      </c>
      <c r="AH38" s="336">
        <f>(Data!BB35+Data!DO35)/AH$6*100000*AH$3</f>
        <v>61582.440641369714</v>
      </c>
      <c r="AI38" s="336">
        <f>(Data!BC35+Data!DP35)/AI$6*100000*AI$3</f>
        <v>36502.70866690448</v>
      </c>
      <c r="AJ38" s="336">
        <f>(Data!BD35+Data!DQ35)/AJ$6*100000*AJ$3</f>
        <v>23274.216822603918</v>
      </c>
      <c r="AK38" s="336">
        <f>(Data!BE35+Data!DR35)/AK$6*100000*AK$3</f>
        <v>21685.589925494507</v>
      </c>
      <c r="AL38" s="338" t="s">
        <v>353</v>
      </c>
      <c r="AM38" s="336">
        <f t="shared" si="5"/>
        <v>484399.24510101153</v>
      </c>
      <c r="AN38" s="336">
        <f>(Data!AN35+Data!DA35)/AN$6*100000*AN$3</f>
        <v>15895.724050230489</v>
      </c>
      <c r="AO38" s="336">
        <f>(Data!AO35+Data!DB35)/AO$6*100000*AO$3</f>
        <v>14349.158063150644</v>
      </c>
      <c r="AP38" s="336">
        <f>(Data!AP35+Data!DC35)/AP$6*100000*AP$3</f>
        <v>20113.230035756853</v>
      </c>
      <c r="AQ38" s="336">
        <f>(Data!AQ35+Data!DD35)/AQ$6*100000*AQ$3</f>
        <v>5412.8826607325436</v>
      </c>
      <c r="AR38" s="336">
        <f>(Data!AR35+Data!DE35)/AR$6*100000*AR$3</f>
        <v>3969.9277969381933</v>
      </c>
      <c r="AS38" s="336">
        <f>(Data!AS35+Data!DF35)/AS$6*100000*AS$3</f>
        <v>16358.663701658874</v>
      </c>
      <c r="AT38" s="336">
        <f>(Data!AT35+Data!DG35)/AT$6*100000*AT$3</f>
        <v>13474.743278068172</v>
      </c>
      <c r="AU38" s="336">
        <f>(Data!AU35+Data!DH35)/AU$6*100000*AU$3</f>
        <v>23816.00435492651</v>
      </c>
      <c r="AV38" s="336">
        <f>(Data!AV35+Data!DI35)/AV$6*100000*AV$3</f>
        <v>24275.281694414658</v>
      </c>
      <c r="AW38" s="336">
        <f>(Data!AW35+Data!DJ35)/AW$6*100000*AW$3</f>
        <v>34645.366182273116</v>
      </c>
      <c r="AX38" s="336">
        <f>(Data!AX35+Data!DK35)/AX$6*100000*AX$3</f>
        <v>35525.240683505632</v>
      </c>
      <c r="AY38" s="336">
        <f>(Data!AY35+Data!DL35)/AY$6*100000*AY$3</f>
        <v>54399.054581947952</v>
      </c>
      <c r="AZ38" s="336">
        <f>(Data!AZ35+Data!DM35)/AZ$6*100000*AZ$3</f>
        <v>51570.860119902245</v>
      </c>
      <c r="BA38" s="336">
        <f>(Data!BA35+Data!DN35)/BA$6*100000*BA$3</f>
        <v>88806.889762424355</v>
      </c>
      <c r="BB38" s="336">
        <f>(Data!BB35+Data!DO35)/BB$6*100000*BB$3</f>
        <v>41054.960427579805</v>
      </c>
      <c r="BC38" s="336">
        <f>(Data!BC35+Data!DP35)/BC$6*100000*BC$3</f>
        <v>18251.35433345224</v>
      </c>
      <c r="BD38" s="336">
        <f>(Data!BD35+Data!DQ35)/BD$6*100000*BD$3</f>
        <v>11637.108411301959</v>
      </c>
      <c r="BE38" s="336">
        <f>(Data!BE35+Data!DR35)/BE$6*100000*BE$3</f>
        <v>10842.794962747254</v>
      </c>
    </row>
    <row r="39" spans="1:57" ht="12" customHeight="1">
      <c r="A39" s="30"/>
      <c r="B39" s="150" t="str">
        <f>UPPER(LEFT(TRIM(Data!B36),1)) &amp; MID(TRIM(Data!B36),2,50)</f>
        <v>Skydliaukės</v>
      </c>
      <c r="C39" s="129" t="str">
        <f>Data!C36</f>
        <v>C73</v>
      </c>
      <c r="D39" s="142">
        <f>Data!E36+Data!BR36</f>
        <v>33</v>
      </c>
      <c r="E39" s="131">
        <f t="shared" si="6"/>
        <v>1.136007656003112</v>
      </c>
      <c r="F39" s="132">
        <f t="shared" si="7"/>
        <v>0.6377606184468928</v>
      </c>
      <c r="G39" s="133">
        <f t="shared" si="8"/>
        <v>0.40102784917215967</v>
      </c>
      <c r="H39" s="58"/>
      <c r="I39" s="58"/>
      <c r="J39" s="58"/>
      <c r="K39" s="58"/>
      <c r="L39" s="58"/>
      <c r="M39" s="58"/>
      <c r="N39" s="58"/>
      <c r="O39" s="58"/>
      <c r="P39" s="58"/>
      <c r="Q39" s="317"/>
      <c r="R39" s="338" t="s">
        <v>353</v>
      </c>
      <c r="S39" s="336">
        <f t="shared" si="4"/>
        <v>63776.061844689277</v>
      </c>
      <c r="T39" s="336">
        <f>(Data!AN36+Data!DA36)/T$6*100000*T$3</f>
        <v>0</v>
      </c>
      <c r="U39" s="336">
        <f>(Data!AO36+Data!DB36)/U$6*100000*U$3</f>
        <v>0</v>
      </c>
      <c r="V39" s="336">
        <f>(Data!AP36+Data!DC36)/V$6*100000*V$3</f>
        <v>0</v>
      </c>
      <c r="W39" s="336">
        <f>(Data!AQ36+Data!DD36)/W$6*100000*W$3</f>
        <v>0</v>
      </c>
      <c r="X39" s="336">
        <f>(Data!AR36+Data!DE36)/X$6*100000*X$3</f>
        <v>0</v>
      </c>
      <c r="Y39" s="336">
        <f>(Data!AS36+Data!DF36)/Y$6*100000*Y$3</f>
        <v>0</v>
      </c>
      <c r="Z39" s="336">
        <f>(Data!AT36+Data!DG36)/Z$6*100000*Z$3</f>
        <v>0</v>
      </c>
      <c r="AA39" s="336">
        <f>(Data!AU36+Data!DH36)/AA$6*100000*AA$3</f>
        <v>0</v>
      </c>
      <c r="AB39" s="336">
        <f>(Data!AV36+Data!DI36)/AB$6*100000*AB$3</f>
        <v>0</v>
      </c>
      <c r="AC39" s="336">
        <f>(Data!AW36+Data!DJ36)/AC$6*100000*AC$3</f>
        <v>0</v>
      </c>
      <c r="AD39" s="336">
        <f>(Data!AX36+Data!DK36)/AD$6*100000*AD$3</f>
        <v>6216.9171196134857</v>
      </c>
      <c r="AE39" s="336">
        <f>(Data!AY36+Data!DL36)/AE$6*100000*AE$3</f>
        <v>2813.7442025145497</v>
      </c>
      <c r="AF39" s="336">
        <f>(Data!AZ36+Data!DM36)/AF$6*100000*AF$3</f>
        <v>11720.650027250513</v>
      </c>
      <c r="AG39" s="336">
        <f>(Data!BA36+Data!DN36)/AG$6*100000*AG$3</f>
        <v>5507.4040162743795</v>
      </c>
      <c r="AH39" s="336">
        <f>(Data!BB36+Data!DO36)/AH$6*100000*AH$3</f>
        <v>9123.3245394621808</v>
      </c>
      <c r="AI39" s="336">
        <f>(Data!BC36+Data!DP36)/AI$6*100000*AI$3</f>
        <v>13273.712242510723</v>
      </c>
      <c r="AJ39" s="336">
        <f>(Data!BD36+Data!DQ36)/AJ$6*100000*AJ$3</f>
        <v>10473.397570171765</v>
      </c>
      <c r="AK39" s="336">
        <f>(Data!BE36+Data!DR36)/AK$6*100000*AK$3</f>
        <v>4646.9121268916806</v>
      </c>
      <c r="AL39" s="338" t="s">
        <v>353</v>
      </c>
      <c r="AM39" s="336">
        <f t="shared" si="5"/>
        <v>40102.784917215969</v>
      </c>
      <c r="AN39" s="336">
        <f>(Data!AN36+Data!DA36)/AN$6*100000*AN$3</f>
        <v>0</v>
      </c>
      <c r="AO39" s="336">
        <f>(Data!AO36+Data!DB36)/AO$6*100000*AO$3</f>
        <v>0</v>
      </c>
      <c r="AP39" s="336">
        <f>(Data!AP36+Data!DC36)/AP$6*100000*AP$3</f>
        <v>0</v>
      </c>
      <c r="AQ39" s="336">
        <f>(Data!AQ36+Data!DD36)/AQ$6*100000*AQ$3</f>
        <v>0</v>
      </c>
      <c r="AR39" s="336">
        <f>(Data!AR36+Data!DE36)/AR$6*100000*AR$3</f>
        <v>0</v>
      </c>
      <c r="AS39" s="336">
        <f>(Data!AS36+Data!DF36)/AS$6*100000*AS$3</f>
        <v>0</v>
      </c>
      <c r="AT39" s="336">
        <f>(Data!AT36+Data!DG36)/AT$6*100000*AT$3</f>
        <v>0</v>
      </c>
      <c r="AU39" s="336">
        <f>(Data!AU36+Data!DH36)/AU$6*100000*AU$3</f>
        <v>0</v>
      </c>
      <c r="AV39" s="336">
        <f>(Data!AV36+Data!DI36)/AV$6*100000*AV$3</f>
        <v>0</v>
      </c>
      <c r="AW39" s="336">
        <f>(Data!AW36+Data!DJ36)/AW$6*100000*AW$3</f>
        <v>0</v>
      </c>
      <c r="AX39" s="336">
        <f>(Data!AX36+Data!DK36)/AX$6*100000*AX$3</f>
        <v>4440.655085438204</v>
      </c>
      <c r="AY39" s="336">
        <f>(Data!AY36+Data!DL36)/AY$6*100000*AY$3</f>
        <v>1875.8294683430329</v>
      </c>
      <c r="AZ39" s="336">
        <f>(Data!AZ36+Data!DM36)/AZ$6*100000*AZ$3</f>
        <v>9376.5200218004102</v>
      </c>
      <c r="BA39" s="336">
        <f>(Data!BA36+Data!DN36)/BA$6*100000*BA$3</f>
        <v>4130.5530122057844</v>
      </c>
      <c r="BB39" s="336">
        <f>(Data!BB36+Data!DO36)/BB$6*100000*BB$3</f>
        <v>6082.216359641453</v>
      </c>
      <c r="BC39" s="336">
        <f>(Data!BC36+Data!DP36)/BC$6*100000*BC$3</f>
        <v>6636.8561212553614</v>
      </c>
      <c r="BD39" s="336">
        <f>(Data!BD36+Data!DQ36)/BD$6*100000*BD$3</f>
        <v>5236.6987850858823</v>
      </c>
      <c r="BE39" s="336">
        <f>(Data!BE36+Data!DR36)/BE$6*100000*BE$3</f>
        <v>2323.4560634458403</v>
      </c>
    </row>
    <row r="40" spans="1:57" ht="12" customHeight="1">
      <c r="A40" s="30"/>
      <c r="B40" s="150" t="str">
        <f>UPPER(LEFT(TRIM(Data!B37),1)) &amp; MID(TRIM(Data!B37),2,50)</f>
        <v>Kitų endokrininių liaukų</v>
      </c>
      <c r="C40" s="129" t="str">
        <f>Data!C37</f>
        <v>C74-C75</v>
      </c>
      <c r="D40" s="142">
        <f>Data!E37+Data!BR37</f>
        <v>15</v>
      </c>
      <c r="E40" s="131">
        <f t="shared" si="6"/>
        <v>0.51636711636505095</v>
      </c>
      <c r="F40" s="132">
        <f t="shared" si="7"/>
        <v>0.36883027531353124</v>
      </c>
      <c r="G40" s="133">
        <f t="shared" si="8"/>
        <v>0.28745567083348511</v>
      </c>
      <c r="H40" s="58"/>
      <c r="I40" s="58"/>
      <c r="J40" s="58"/>
      <c r="K40" s="58"/>
      <c r="L40" s="58"/>
      <c r="M40" s="58"/>
      <c r="N40" s="58"/>
      <c r="O40" s="58"/>
      <c r="P40" s="58"/>
      <c r="Q40" s="317"/>
      <c r="R40" s="338" t="s">
        <v>353</v>
      </c>
      <c r="S40" s="336">
        <f t="shared" si="4"/>
        <v>36883.027531353124</v>
      </c>
      <c r="T40" s="336">
        <f>(Data!AN37+Data!DA37)/T$6*100000*T$3</f>
        <v>5298.5746834101628</v>
      </c>
      <c r="U40" s="336">
        <f>(Data!AO37+Data!DB37)/U$6*100000*U$3</f>
        <v>0</v>
      </c>
      <c r="V40" s="336">
        <f>(Data!AP37+Data!DC37)/V$6*100000*V$3</f>
        <v>0</v>
      </c>
      <c r="W40" s="336">
        <f>(Data!AQ37+Data!DD37)/W$6*100000*W$3</f>
        <v>0</v>
      </c>
      <c r="X40" s="336">
        <f>(Data!AR37+Data!DE37)/X$6*100000*X$3</f>
        <v>0</v>
      </c>
      <c r="Y40" s="336">
        <f>(Data!AS37+Data!DF37)/Y$6*100000*Y$3</f>
        <v>0</v>
      </c>
      <c r="Z40" s="336">
        <f>(Data!AT37+Data!DG37)/Z$6*100000*Z$3</f>
        <v>0</v>
      </c>
      <c r="AA40" s="336">
        <f>(Data!AU37+Data!DH37)/AA$6*100000*AA$3</f>
        <v>0</v>
      </c>
      <c r="AB40" s="336">
        <f>(Data!AV37+Data!DI37)/AB$6*100000*AB$3</f>
        <v>3540.1452471021375</v>
      </c>
      <c r="AC40" s="336">
        <f>(Data!AW37+Data!DJ37)/AC$6*100000*AC$3</f>
        <v>0</v>
      </c>
      <c r="AD40" s="336">
        <f>(Data!AX37+Data!DK37)/AD$6*100000*AD$3</f>
        <v>3108.4585598067429</v>
      </c>
      <c r="AE40" s="336">
        <f>(Data!AY37+Data!DL37)/AE$6*100000*AE$3</f>
        <v>5627.4884050290993</v>
      </c>
      <c r="AF40" s="336">
        <f>(Data!AZ37+Data!DM37)/AF$6*100000*AF$3</f>
        <v>0</v>
      </c>
      <c r="AG40" s="336">
        <f>(Data!BA37+Data!DN37)/AG$6*100000*AG$3</f>
        <v>5507.4040162743795</v>
      </c>
      <c r="AH40" s="336">
        <f>(Data!BB37+Data!DO37)/AH$6*100000*AH$3</f>
        <v>4561.6622697310904</v>
      </c>
      <c r="AI40" s="336">
        <f>(Data!BC37+Data!DP37)/AI$6*100000*AI$3</f>
        <v>4977.642090941521</v>
      </c>
      <c r="AJ40" s="336">
        <f>(Data!BD37+Data!DQ37)/AJ$6*100000*AJ$3</f>
        <v>1163.7108411301961</v>
      </c>
      <c r="AK40" s="336">
        <f>(Data!BE37+Data!DR37)/AK$6*100000*AK$3</f>
        <v>3097.9414179277869</v>
      </c>
      <c r="AL40" s="338" t="s">
        <v>353</v>
      </c>
      <c r="AM40" s="336">
        <f t="shared" si="5"/>
        <v>28745.567083348513</v>
      </c>
      <c r="AN40" s="336">
        <f>(Data!AN37+Data!DA37)/AN$6*100000*AN$3</f>
        <v>7947.8620251152443</v>
      </c>
      <c r="AO40" s="336">
        <f>(Data!AO37+Data!DB37)/AO$6*100000*AO$3</f>
        <v>0</v>
      </c>
      <c r="AP40" s="336">
        <f>(Data!AP37+Data!DC37)/AP$6*100000*AP$3</f>
        <v>0</v>
      </c>
      <c r="AQ40" s="336">
        <f>(Data!AQ37+Data!DD37)/AQ$6*100000*AQ$3</f>
        <v>0</v>
      </c>
      <c r="AR40" s="336">
        <f>(Data!AR37+Data!DE37)/AR$6*100000*AR$3</f>
        <v>0</v>
      </c>
      <c r="AS40" s="336">
        <f>(Data!AS37+Data!DF37)/AS$6*100000*AS$3</f>
        <v>0</v>
      </c>
      <c r="AT40" s="336">
        <f>(Data!AT37+Data!DG37)/AT$6*100000*AT$3</f>
        <v>0</v>
      </c>
      <c r="AU40" s="336">
        <f>(Data!AU37+Data!DH37)/AU$6*100000*AU$3</f>
        <v>0</v>
      </c>
      <c r="AV40" s="336">
        <f>(Data!AV37+Data!DI37)/AV$6*100000*AV$3</f>
        <v>3034.4102118018322</v>
      </c>
      <c r="AW40" s="336">
        <f>(Data!AW37+Data!DJ37)/AW$6*100000*AW$3</f>
        <v>0</v>
      </c>
      <c r="AX40" s="336">
        <f>(Data!AX37+Data!DK37)/AX$6*100000*AX$3</f>
        <v>2220.327542719102</v>
      </c>
      <c r="AY40" s="336">
        <f>(Data!AY37+Data!DL37)/AY$6*100000*AY$3</f>
        <v>3751.6589366860658</v>
      </c>
      <c r="AZ40" s="336">
        <f>(Data!AZ37+Data!DM37)/AZ$6*100000*AZ$3</f>
        <v>0</v>
      </c>
      <c r="BA40" s="336">
        <f>(Data!BA37+Data!DN37)/BA$6*100000*BA$3</f>
        <v>4130.5530122057844</v>
      </c>
      <c r="BB40" s="336">
        <f>(Data!BB37+Data!DO37)/BB$6*100000*BB$3</f>
        <v>3041.1081798207265</v>
      </c>
      <c r="BC40" s="336">
        <f>(Data!BC37+Data!DP37)/BC$6*100000*BC$3</f>
        <v>2488.8210454707605</v>
      </c>
      <c r="BD40" s="336">
        <f>(Data!BD37+Data!DQ37)/BD$6*100000*BD$3</f>
        <v>581.85542056509803</v>
      </c>
      <c r="BE40" s="336">
        <f>(Data!BE37+Data!DR37)/BE$6*100000*BE$3</f>
        <v>1548.9707089638935</v>
      </c>
    </row>
    <row r="41" spans="1:57" ht="12" customHeight="1">
      <c r="A41" s="30"/>
      <c r="B41" s="150" t="str">
        <f>UPPER(LEFT(TRIM(Data!B38),1)) &amp; MID(TRIM(Data!B38),2,50)</f>
        <v>Nepatikslintos lokalizacijos</v>
      </c>
      <c r="C41" s="129" t="str">
        <f>Data!C38</f>
        <v>C76-C80</v>
      </c>
      <c r="D41" s="142">
        <f>Data!E38+Data!BR38</f>
        <v>401</v>
      </c>
      <c r="E41" s="131">
        <f t="shared" si="6"/>
        <v>13.804214244159027</v>
      </c>
      <c r="F41" s="132">
        <f t="shared" si="7"/>
        <v>8.4934775827078983</v>
      </c>
      <c r="G41" s="133">
        <f t="shared" si="8"/>
        <v>5.5478424107545532</v>
      </c>
      <c r="H41" s="58"/>
      <c r="I41" s="58"/>
      <c r="J41" s="58"/>
      <c r="K41" s="58"/>
      <c r="L41" s="58"/>
      <c r="M41" s="58"/>
      <c r="N41" s="58"/>
      <c r="O41" s="58"/>
      <c r="P41" s="58"/>
      <c r="Q41" s="317"/>
      <c r="R41" s="338" t="s">
        <v>353</v>
      </c>
      <c r="S41" s="336">
        <f t="shared" si="4"/>
        <v>849347.75827078987</v>
      </c>
      <c r="T41" s="336">
        <f>(Data!AN38+Data!DA38)/T$6*100000*T$3</f>
        <v>0</v>
      </c>
      <c r="U41" s="336">
        <f>(Data!AO38+Data!DB38)/U$6*100000*U$3</f>
        <v>0</v>
      </c>
      <c r="V41" s="336">
        <f>(Data!AP38+Data!DC38)/V$6*100000*V$3</f>
        <v>0</v>
      </c>
      <c r="W41" s="336">
        <f>(Data!AQ38+Data!DD38)/W$6*100000*W$3</f>
        <v>0</v>
      </c>
      <c r="X41" s="336">
        <f>(Data!AR38+Data!DE38)/X$6*100000*X$3</f>
        <v>0</v>
      </c>
      <c r="Y41" s="336">
        <f>(Data!AS38+Data!DF38)/Y$6*100000*Y$3</f>
        <v>0</v>
      </c>
      <c r="Z41" s="336">
        <f>(Data!AT38+Data!DG38)/Z$6*100000*Z$3</f>
        <v>3930.1334561032168</v>
      </c>
      <c r="AA41" s="336">
        <f>(Data!AU38+Data!DH38)/AA$6*100000*AA$3</f>
        <v>3969.3340591544188</v>
      </c>
      <c r="AB41" s="336">
        <f>(Data!AV38+Data!DI38)/AB$6*100000*AB$3</f>
        <v>14160.58098840855</v>
      </c>
      <c r="AC41" s="336">
        <f>(Data!AW38+Data!DJ38)/AC$6*100000*AC$3</f>
        <v>10104.898469829659</v>
      </c>
      <c r="AD41" s="336">
        <f>(Data!AX38+Data!DK38)/AD$6*100000*AD$3</f>
        <v>40409.961277487651</v>
      </c>
      <c r="AE41" s="336">
        <f>(Data!AY38+Data!DL38)/AE$6*100000*AE$3</f>
        <v>112549.76810058198</v>
      </c>
      <c r="AF41" s="336">
        <f>(Data!AZ38+Data!DM38)/AF$6*100000*AF$3</f>
        <v>120136.66277931775</v>
      </c>
      <c r="AG41" s="336">
        <f>(Data!BA38+Data!DN38)/AG$6*100000*AG$3</f>
        <v>129423.99438244791</v>
      </c>
      <c r="AH41" s="336">
        <f>(Data!BB38+Data!DO38)/AH$6*100000*AH$3</f>
        <v>136849.8680919327</v>
      </c>
      <c r="AI41" s="336">
        <f>(Data!BC38+Data!DP38)/AI$6*100000*AI$3</f>
        <v>111167.34003102731</v>
      </c>
      <c r="AJ41" s="336">
        <f>(Data!BD38+Data!DQ38)/AJ$6*100000*AJ$3</f>
        <v>76804.91551459294</v>
      </c>
      <c r="AK41" s="336">
        <f>(Data!BE38+Data!DR38)/AK$6*100000*AK$3</f>
        <v>89840.301119905838</v>
      </c>
      <c r="AL41" s="338" t="s">
        <v>353</v>
      </c>
      <c r="AM41" s="336">
        <f t="shared" si="5"/>
        <v>554784.24107545533</v>
      </c>
      <c r="AN41" s="336">
        <f>(Data!AN38+Data!DA38)/AN$6*100000*AN$3</f>
        <v>0</v>
      </c>
      <c r="AO41" s="336">
        <f>(Data!AO38+Data!DB38)/AO$6*100000*AO$3</f>
        <v>0</v>
      </c>
      <c r="AP41" s="336">
        <f>(Data!AP38+Data!DC38)/AP$6*100000*AP$3</f>
        <v>0</v>
      </c>
      <c r="AQ41" s="336">
        <f>(Data!AQ38+Data!DD38)/AQ$6*100000*AQ$3</f>
        <v>0</v>
      </c>
      <c r="AR41" s="336">
        <f>(Data!AR38+Data!DE38)/AR$6*100000*AR$3</f>
        <v>0</v>
      </c>
      <c r="AS41" s="336">
        <f>(Data!AS38+Data!DF38)/AS$6*100000*AS$3</f>
        <v>0</v>
      </c>
      <c r="AT41" s="336">
        <f>(Data!AT38+Data!DG38)/AT$6*100000*AT$3</f>
        <v>3368.685819517043</v>
      </c>
      <c r="AU41" s="336">
        <f>(Data!AU38+Data!DH38)/AU$6*100000*AU$3</f>
        <v>3402.286336418073</v>
      </c>
      <c r="AV41" s="336">
        <f>(Data!AV38+Data!DI38)/AV$6*100000*AV$3</f>
        <v>12137.640847207329</v>
      </c>
      <c r="AW41" s="336">
        <f>(Data!AW38+Data!DJ38)/AW$6*100000*AW$3</f>
        <v>8661.3415455682789</v>
      </c>
      <c r="AX41" s="336">
        <f>(Data!AX38+Data!DK38)/AX$6*100000*AX$3</f>
        <v>28864.25805534832</v>
      </c>
      <c r="AY41" s="336">
        <f>(Data!AY38+Data!DL38)/AY$6*100000*AY$3</f>
        <v>75033.178733721317</v>
      </c>
      <c r="AZ41" s="336">
        <f>(Data!AZ38+Data!DM38)/AZ$6*100000*AZ$3</f>
        <v>96109.330223454192</v>
      </c>
      <c r="BA41" s="336">
        <f>(Data!BA38+Data!DN38)/BA$6*100000*BA$3</f>
        <v>97067.995786835934</v>
      </c>
      <c r="BB41" s="336">
        <f>(Data!BB38+Data!DO38)/BB$6*100000*BB$3</f>
        <v>91233.245394621801</v>
      </c>
      <c r="BC41" s="336">
        <f>(Data!BC38+Data!DP38)/BC$6*100000*BC$3</f>
        <v>55583.670015513657</v>
      </c>
      <c r="BD41" s="336">
        <f>(Data!BD38+Data!DQ38)/BD$6*100000*BD$3</f>
        <v>38402.45775729647</v>
      </c>
      <c r="BE41" s="336">
        <f>(Data!BE38+Data!DR38)/BE$6*100000*BE$3</f>
        <v>44920.150559952919</v>
      </c>
    </row>
    <row r="42" spans="1:57" ht="12" customHeight="1">
      <c r="A42" s="30"/>
      <c r="B42" s="150" t="str">
        <f>UPPER(LEFT(TRIM(Data!B39),1)) &amp; MID(TRIM(Data!B39),2,50)</f>
        <v>Hodžkino limfomos</v>
      </c>
      <c r="C42" s="129" t="str">
        <f>Data!C39</f>
        <v>C81</v>
      </c>
      <c r="D42" s="142">
        <f>Data!E39+Data!BR39</f>
        <v>17</v>
      </c>
      <c r="E42" s="131">
        <f t="shared" si="6"/>
        <v>0.58521606521372438</v>
      </c>
      <c r="F42" s="132">
        <f t="shared" si="7"/>
        <v>0.43041589439766409</v>
      </c>
      <c r="G42" s="133">
        <f t="shared" si="8"/>
        <v>0.31981436934021867</v>
      </c>
      <c r="H42" s="58"/>
      <c r="I42" s="58"/>
      <c r="J42" s="58"/>
      <c r="K42" s="58"/>
      <c r="L42" s="58"/>
      <c r="M42" s="58"/>
      <c r="N42" s="58"/>
      <c r="O42" s="58"/>
      <c r="P42" s="58"/>
      <c r="Q42" s="317"/>
      <c r="R42" s="338" t="s">
        <v>353</v>
      </c>
      <c r="S42" s="336">
        <f t="shared" si="4"/>
        <v>43041.589439766409</v>
      </c>
      <c r="T42" s="336">
        <f>(Data!AN39+Data!DA39)/T$6*100000*T$3</f>
        <v>0</v>
      </c>
      <c r="U42" s="336">
        <f>(Data!AO39+Data!DB39)/U$6*100000*U$3</f>
        <v>0</v>
      </c>
      <c r="V42" s="336">
        <f>(Data!AP39+Data!DC39)/V$6*100000*V$3</f>
        <v>0</v>
      </c>
      <c r="W42" s="336">
        <f>(Data!AQ39+Data!DD39)/W$6*100000*W$3</f>
        <v>0</v>
      </c>
      <c r="X42" s="336">
        <f>(Data!AR39+Data!DE39)/X$6*100000*X$3</f>
        <v>0</v>
      </c>
      <c r="Y42" s="336">
        <f>(Data!AS39+Data!DF39)/Y$6*100000*Y$3</f>
        <v>0</v>
      </c>
      <c r="Z42" s="336">
        <f>(Data!AT39+Data!DG39)/Z$6*100000*Z$3</f>
        <v>3930.1334561032168</v>
      </c>
      <c r="AA42" s="336">
        <f>(Data!AU39+Data!DH39)/AA$6*100000*AA$3</f>
        <v>0</v>
      </c>
      <c r="AB42" s="336">
        <f>(Data!AV39+Data!DI39)/AB$6*100000*AB$3</f>
        <v>14160.58098840855</v>
      </c>
      <c r="AC42" s="336">
        <f>(Data!AW39+Data!DJ39)/AC$6*100000*AC$3</f>
        <v>3368.2994899432201</v>
      </c>
      <c r="AD42" s="336">
        <f>(Data!AX39+Data!DK39)/AD$6*100000*AD$3</f>
        <v>0</v>
      </c>
      <c r="AE42" s="336">
        <f>(Data!AY39+Data!DL39)/AE$6*100000*AE$3</f>
        <v>2813.7442025145497</v>
      </c>
      <c r="AF42" s="336">
        <f>(Data!AZ39+Data!DM39)/AF$6*100000*AF$3</f>
        <v>2930.1625068126282</v>
      </c>
      <c r="AG42" s="336">
        <f>(Data!BA39+Data!DN39)/AG$6*100000*AG$3</f>
        <v>2753.7020081371898</v>
      </c>
      <c r="AH42" s="336">
        <f>(Data!BB39+Data!DO39)/AH$6*100000*AH$3</f>
        <v>4561.6622697310904</v>
      </c>
      <c r="AI42" s="336">
        <f>(Data!BC39+Data!DP39)/AI$6*100000*AI$3</f>
        <v>0</v>
      </c>
      <c r="AJ42" s="336">
        <f>(Data!BD39+Data!DQ39)/AJ$6*100000*AJ$3</f>
        <v>2327.4216822603921</v>
      </c>
      <c r="AK42" s="336">
        <f>(Data!BE39+Data!DR39)/AK$6*100000*AK$3</f>
        <v>6195.8828358555738</v>
      </c>
      <c r="AL42" s="338" t="s">
        <v>353</v>
      </c>
      <c r="AM42" s="336">
        <f t="shared" si="5"/>
        <v>31981.436934021865</v>
      </c>
      <c r="AN42" s="336">
        <f>(Data!AN39+Data!DA39)/AN$6*100000*AN$3</f>
        <v>0</v>
      </c>
      <c r="AO42" s="336">
        <f>(Data!AO39+Data!DB39)/AO$6*100000*AO$3</f>
        <v>0</v>
      </c>
      <c r="AP42" s="336">
        <f>(Data!AP39+Data!DC39)/AP$6*100000*AP$3</f>
        <v>0</v>
      </c>
      <c r="AQ42" s="336">
        <f>(Data!AQ39+Data!DD39)/AQ$6*100000*AQ$3</f>
        <v>0</v>
      </c>
      <c r="AR42" s="336">
        <f>(Data!AR39+Data!DE39)/AR$6*100000*AR$3</f>
        <v>0</v>
      </c>
      <c r="AS42" s="336">
        <f>(Data!AS39+Data!DF39)/AS$6*100000*AS$3</f>
        <v>0</v>
      </c>
      <c r="AT42" s="336">
        <f>(Data!AT39+Data!DG39)/AT$6*100000*AT$3</f>
        <v>3368.685819517043</v>
      </c>
      <c r="AU42" s="336">
        <f>(Data!AU39+Data!DH39)/AU$6*100000*AU$3</f>
        <v>0</v>
      </c>
      <c r="AV42" s="336">
        <f>(Data!AV39+Data!DI39)/AV$6*100000*AV$3</f>
        <v>12137.640847207329</v>
      </c>
      <c r="AW42" s="336">
        <f>(Data!AW39+Data!DJ39)/AW$6*100000*AW$3</f>
        <v>2887.1138485227598</v>
      </c>
      <c r="AX42" s="336">
        <f>(Data!AX39+Data!DK39)/AX$6*100000*AX$3</f>
        <v>0</v>
      </c>
      <c r="AY42" s="336">
        <f>(Data!AY39+Data!DL39)/AY$6*100000*AY$3</f>
        <v>1875.8294683430329</v>
      </c>
      <c r="AZ42" s="336">
        <f>(Data!AZ39+Data!DM39)/AZ$6*100000*AZ$3</f>
        <v>2344.1300054501025</v>
      </c>
      <c r="BA42" s="336">
        <f>(Data!BA39+Data!DN39)/BA$6*100000*BA$3</f>
        <v>2065.2765061028922</v>
      </c>
      <c r="BB42" s="336">
        <f>(Data!BB39+Data!DO39)/BB$6*100000*BB$3</f>
        <v>3041.1081798207265</v>
      </c>
      <c r="BC42" s="336">
        <f>(Data!BC39+Data!DP39)/BC$6*100000*BC$3</f>
        <v>0</v>
      </c>
      <c r="BD42" s="336">
        <f>(Data!BD39+Data!DQ39)/BD$6*100000*BD$3</f>
        <v>1163.7108411301961</v>
      </c>
      <c r="BE42" s="336">
        <f>(Data!BE39+Data!DR39)/BE$6*100000*BE$3</f>
        <v>3097.9414179277869</v>
      </c>
    </row>
    <row r="43" spans="1:57" ht="12" customHeight="1">
      <c r="A43" s="30"/>
      <c r="B43" s="150" t="str">
        <f>UPPER(LEFT(TRIM(Data!B40),1)) &amp; MID(TRIM(Data!B40),2,50)</f>
        <v>Ne Hodžkino limfomos</v>
      </c>
      <c r="C43" s="129" t="str">
        <f>Data!C40</f>
        <v>C82-C85</v>
      </c>
      <c r="D43" s="142">
        <f>Data!E40+Data!BR40</f>
        <v>168</v>
      </c>
      <c r="E43" s="131">
        <f t="shared" si="6"/>
        <v>5.7833117032885699</v>
      </c>
      <c r="F43" s="132">
        <f t="shared" si="7"/>
        <v>3.4545119112493947</v>
      </c>
      <c r="G43" s="133">
        <f t="shared" si="8"/>
        <v>2.2601861878243872</v>
      </c>
      <c r="H43" s="58"/>
      <c r="I43" s="58"/>
      <c r="J43" s="58"/>
      <c r="K43" s="58"/>
      <c r="L43" s="58"/>
      <c r="M43" s="58"/>
      <c r="N43" s="58"/>
      <c r="O43" s="58"/>
      <c r="P43" s="58"/>
      <c r="Q43" s="317"/>
      <c r="R43" s="338" t="s">
        <v>353</v>
      </c>
      <c r="S43" s="336">
        <f t="shared" si="4"/>
        <v>345451.19112493948</v>
      </c>
      <c r="T43" s="336">
        <f>(Data!AN40+Data!DA40)/T$6*100000*T$3</f>
        <v>0</v>
      </c>
      <c r="U43" s="336">
        <f>(Data!AO40+Data!DB40)/U$6*100000*U$3</f>
        <v>0</v>
      </c>
      <c r="V43" s="336">
        <f>(Data!AP40+Data!DC40)/V$6*100000*V$3</f>
        <v>0</v>
      </c>
      <c r="W43" s="336">
        <f>(Data!AQ40+Data!DD40)/W$6*100000*W$3</f>
        <v>0</v>
      </c>
      <c r="X43" s="336">
        <f>(Data!AR40+Data!DE40)/X$6*100000*X$3</f>
        <v>0</v>
      </c>
      <c r="Y43" s="336">
        <f>(Data!AS40+Data!DF40)/Y$6*100000*Y$3</f>
        <v>0</v>
      </c>
      <c r="Z43" s="336">
        <f>(Data!AT40+Data!DG40)/Z$6*100000*Z$3</f>
        <v>3930.1334561032168</v>
      </c>
      <c r="AA43" s="336">
        <f>(Data!AU40+Data!DH40)/AA$6*100000*AA$3</f>
        <v>19846.670295772092</v>
      </c>
      <c r="AB43" s="336">
        <f>(Data!AV40+Data!DI40)/AB$6*100000*AB$3</f>
        <v>0</v>
      </c>
      <c r="AC43" s="336">
        <f>(Data!AW40+Data!DJ40)/AC$6*100000*AC$3</f>
        <v>0</v>
      </c>
      <c r="AD43" s="336">
        <f>(Data!AX40+Data!DK40)/AD$6*100000*AD$3</f>
        <v>21759.209918647201</v>
      </c>
      <c r="AE43" s="336">
        <f>(Data!AY40+Data!DL40)/AE$6*100000*AE$3</f>
        <v>22509.953620116397</v>
      </c>
      <c r="AF43" s="336">
        <f>(Data!AZ40+Data!DM40)/AF$6*100000*AF$3</f>
        <v>49812.762615814667</v>
      </c>
      <c r="AG43" s="336">
        <f>(Data!BA40+Data!DN40)/AG$6*100000*AG$3</f>
        <v>52320.338154606594</v>
      </c>
      <c r="AH43" s="336">
        <f>(Data!BB40+Data!DO40)/AH$6*100000*AH$3</f>
        <v>50178.284967041982</v>
      </c>
      <c r="AI43" s="336">
        <f>(Data!BC40+Data!DP40)/AI$6*100000*AI$3</f>
        <v>39821.136727532168</v>
      </c>
      <c r="AJ43" s="336">
        <f>(Data!BD40+Data!DQ40)/AJ$6*100000*AJ$3</f>
        <v>46548.433645207835</v>
      </c>
      <c r="AK43" s="336">
        <f>(Data!BE40+Data!DR40)/AK$6*100000*AK$3</f>
        <v>38724.267724097335</v>
      </c>
      <c r="AL43" s="338" t="s">
        <v>353</v>
      </c>
      <c r="AM43" s="336">
        <f t="shared" si="5"/>
        <v>226018.61878243872</v>
      </c>
      <c r="AN43" s="336">
        <f>(Data!AN40+Data!DA40)/AN$6*100000*AN$3</f>
        <v>0</v>
      </c>
      <c r="AO43" s="336">
        <f>(Data!AO40+Data!DB40)/AO$6*100000*AO$3</f>
        <v>0</v>
      </c>
      <c r="AP43" s="336">
        <f>(Data!AP40+Data!DC40)/AP$6*100000*AP$3</f>
        <v>0</v>
      </c>
      <c r="AQ43" s="336">
        <f>(Data!AQ40+Data!DD40)/AQ$6*100000*AQ$3</f>
        <v>0</v>
      </c>
      <c r="AR43" s="336">
        <f>(Data!AR40+Data!DE40)/AR$6*100000*AR$3</f>
        <v>0</v>
      </c>
      <c r="AS43" s="336">
        <f>(Data!AS40+Data!DF40)/AS$6*100000*AS$3</f>
        <v>0</v>
      </c>
      <c r="AT43" s="336">
        <f>(Data!AT40+Data!DG40)/AT$6*100000*AT$3</f>
        <v>3368.685819517043</v>
      </c>
      <c r="AU43" s="336">
        <f>(Data!AU40+Data!DH40)/AU$6*100000*AU$3</f>
        <v>17011.431682090366</v>
      </c>
      <c r="AV43" s="336">
        <f>(Data!AV40+Data!DI40)/AV$6*100000*AV$3</f>
        <v>0</v>
      </c>
      <c r="AW43" s="336">
        <f>(Data!AW40+Data!DJ40)/AW$6*100000*AW$3</f>
        <v>0</v>
      </c>
      <c r="AX43" s="336">
        <f>(Data!AX40+Data!DK40)/AX$6*100000*AX$3</f>
        <v>15542.292799033714</v>
      </c>
      <c r="AY43" s="336">
        <f>(Data!AY40+Data!DL40)/AY$6*100000*AY$3</f>
        <v>15006.635746744263</v>
      </c>
      <c r="AZ43" s="336">
        <f>(Data!AZ40+Data!DM40)/AZ$6*100000*AZ$3</f>
        <v>39850.210092651738</v>
      </c>
      <c r="BA43" s="336">
        <f>(Data!BA40+Data!DN40)/BA$6*100000*BA$3</f>
        <v>39240.253615954949</v>
      </c>
      <c r="BB43" s="336">
        <f>(Data!BB40+Data!DO40)/BB$6*100000*BB$3</f>
        <v>33452.189978027985</v>
      </c>
      <c r="BC43" s="336">
        <f>(Data!BC40+Data!DP40)/BC$6*100000*BC$3</f>
        <v>19910.568363766084</v>
      </c>
      <c r="BD43" s="336">
        <f>(Data!BD40+Data!DQ40)/BD$6*100000*BD$3</f>
        <v>23274.216822603918</v>
      </c>
      <c r="BE43" s="336">
        <f>(Data!BE40+Data!DR40)/BE$6*100000*BE$3</f>
        <v>19362.133862048668</v>
      </c>
    </row>
    <row r="44" spans="1:57" ht="12" customHeight="1">
      <c r="A44" s="30"/>
      <c r="B44" s="150" t="str">
        <f>UPPER(LEFT(TRIM(Data!B41),1)) &amp; MID(TRIM(Data!B41),2,50)</f>
        <v>Mielominės ligos</v>
      </c>
      <c r="C44" s="129" t="str">
        <f>Data!C41</f>
        <v>C90</v>
      </c>
      <c r="D44" s="142">
        <f>Data!E41+Data!BR41</f>
        <v>107</v>
      </c>
      <c r="E44" s="131">
        <f t="shared" si="6"/>
        <v>3.6834187634040298</v>
      </c>
      <c r="F44" s="132">
        <f t="shared" si="7"/>
        <v>2.2262049437787597</v>
      </c>
      <c r="G44" s="133">
        <f t="shared" si="8"/>
        <v>1.4331497328999252</v>
      </c>
      <c r="H44" s="58"/>
      <c r="I44" s="58"/>
      <c r="J44" s="58"/>
      <c r="K44" s="58"/>
      <c r="L44" s="58"/>
      <c r="M44" s="58"/>
      <c r="N44" s="58"/>
      <c r="O44" s="58"/>
      <c r="P44" s="58"/>
      <c r="Q44" s="317"/>
      <c r="R44" s="338" t="s">
        <v>353</v>
      </c>
      <c r="S44" s="336">
        <f t="shared" si="4"/>
        <v>222620.49437787596</v>
      </c>
      <c r="T44" s="336">
        <f>(Data!AN41+Data!DA41)/T$6*100000*T$3</f>
        <v>0</v>
      </c>
      <c r="U44" s="336">
        <f>(Data!AO41+Data!DB41)/U$6*100000*U$3</f>
        <v>0</v>
      </c>
      <c r="V44" s="336">
        <f>(Data!AP41+Data!DC41)/V$6*100000*V$3</f>
        <v>0</v>
      </c>
      <c r="W44" s="336">
        <f>(Data!AQ41+Data!DD41)/W$6*100000*W$3</f>
        <v>0</v>
      </c>
      <c r="X44" s="336">
        <f>(Data!AR41+Data!DE41)/X$6*100000*X$3</f>
        <v>0</v>
      </c>
      <c r="Y44" s="336">
        <f>(Data!AS41+Data!DF41)/Y$6*100000*Y$3</f>
        <v>0</v>
      </c>
      <c r="Z44" s="336">
        <f>(Data!AT41+Data!DG41)/Z$6*100000*Z$3</f>
        <v>0</v>
      </c>
      <c r="AA44" s="336">
        <f>(Data!AU41+Data!DH41)/AA$6*100000*AA$3</f>
        <v>0</v>
      </c>
      <c r="AB44" s="336">
        <f>(Data!AV41+Data!DI41)/AB$6*100000*AB$3</f>
        <v>0</v>
      </c>
      <c r="AC44" s="336">
        <f>(Data!AW41+Data!DJ41)/AC$6*100000*AC$3</f>
        <v>3368.2994899432201</v>
      </c>
      <c r="AD44" s="336">
        <f>(Data!AX41+Data!DK41)/AD$6*100000*AD$3</f>
        <v>6216.9171196134857</v>
      </c>
      <c r="AE44" s="336">
        <f>(Data!AY41+Data!DL41)/AE$6*100000*AE$3</f>
        <v>25323.697822630947</v>
      </c>
      <c r="AF44" s="336">
        <f>(Data!AZ41+Data!DM41)/AF$6*100000*AF$3</f>
        <v>23441.300054501025</v>
      </c>
      <c r="AG44" s="336">
        <f>(Data!BA41+Data!DN41)/AG$6*100000*AG$3</f>
        <v>30290.722089509087</v>
      </c>
      <c r="AH44" s="336">
        <f>(Data!BB41+Data!DO41)/AH$6*100000*AH$3</f>
        <v>63863.271776235255</v>
      </c>
      <c r="AI44" s="336">
        <f>(Data!BC41+Data!DP41)/AI$6*100000*AI$3</f>
        <v>34843.494636590651</v>
      </c>
      <c r="AJ44" s="336">
        <f>(Data!BD41+Data!DQ41)/AJ$6*100000*AJ$3</f>
        <v>19783.084299213333</v>
      </c>
      <c r="AK44" s="336">
        <f>(Data!BE41+Data!DR41)/AK$6*100000*AK$3</f>
        <v>15489.707089638936</v>
      </c>
      <c r="AL44" s="338" t="s">
        <v>353</v>
      </c>
      <c r="AM44" s="336">
        <f t="shared" si="5"/>
        <v>143314.97328999251</v>
      </c>
      <c r="AN44" s="336">
        <f>(Data!AN41+Data!DA41)/AN$6*100000*AN$3</f>
        <v>0</v>
      </c>
      <c r="AO44" s="336">
        <f>(Data!AO41+Data!DB41)/AO$6*100000*AO$3</f>
        <v>0</v>
      </c>
      <c r="AP44" s="336">
        <f>(Data!AP41+Data!DC41)/AP$6*100000*AP$3</f>
        <v>0</v>
      </c>
      <c r="AQ44" s="336">
        <f>(Data!AQ41+Data!DD41)/AQ$6*100000*AQ$3</f>
        <v>0</v>
      </c>
      <c r="AR44" s="336">
        <f>(Data!AR41+Data!DE41)/AR$6*100000*AR$3</f>
        <v>0</v>
      </c>
      <c r="AS44" s="336">
        <f>(Data!AS41+Data!DF41)/AS$6*100000*AS$3</f>
        <v>0</v>
      </c>
      <c r="AT44" s="336">
        <f>(Data!AT41+Data!DG41)/AT$6*100000*AT$3</f>
        <v>0</v>
      </c>
      <c r="AU44" s="336">
        <f>(Data!AU41+Data!DH41)/AU$6*100000*AU$3</f>
        <v>0</v>
      </c>
      <c r="AV44" s="336">
        <f>(Data!AV41+Data!DI41)/AV$6*100000*AV$3</f>
        <v>0</v>
      </c>
      <c r="AW44" s="336">
        <f>(Data!AW41+Data!DJ41)/AW$6*100000*AW$3</f>
        <v>2887.1138485227598</v>
      </c>
      <c r="AX44" s="336">
        <f>(Data!AX41+Data!DK41)/AX$6*100000*AX$3</f>
        <v>4440.655085438204</v>
      </c>
      <c r="AY44" s="336">
        <f>(Data!AY41+Data!DL41)/AY$6*100000*AY$3</f>
        <v>16882.465215087297</v>
      </c>
      <c r="AZ44" s="336">
        <f>(Data!AZ41+Data!DM41)/AZ$6*100000*AZ$3</f>
        <v>18753.04004360082</v>
      </c>
      <c r="BA44" s="336">
        <f>(Data!BA41+Data!DN41)/BA$6*100000*BA$3</f>
        <v>22718.041567131815</v>
      </c>
      <c r="BB44" s="336">
        <f>(Data!BB41+Data!DO41)/BB$6*100000*BB$3</f>
        <v>42575.51451749017</v>
      </c>
      <c r="BC44" s="336">
        <f>(Data!BC41+Data!DP41)/BC$6*100000*BC$3</f>
        <v>17421.747318295325</v>
      </c>
      <c r="BD44" s="336">
        <f>(Data!BD41+Data!DQ41)/BD$6*100000*BD$3</f>
        <v>9891.5421496066665</v>
      </c>
      <c r="BE44" s="336">
        <f>(Data!BE41+Data!DR41)/BE$6*100000*BE$3</f>
        <v>7744.853544819468</v>
      </c>
    </row>
    <row r="45" spans="1:57" ht="12" customHeight="1">
      <c r="A45" s="30"/>
      <c r="B45" s="150" t="str">
        <f>UPPER(LEFT(TRIM(Data!B42),1)) &amp; MID(TRIM(Data!B42),2,50)</f>
        <v>Leukemijos</v>
      </c>
      <c r="C45" s="129" t="str">
        <f>Data!C42</f>
        <v>C91-C95</v>
      </c>
      <c r="D45" s="142">
        <f>Data!E42+Data!BR42</f>
        <v>248</v>
      </c>
      <c r="E45" s="131">
        <f t="shared" si="6"/>
        <v>8.5372696572355071</v>
      </c>
      <c r="F45" s="132">
        <f t="shared" si="7"/>
        <v>5.3508664671925539</v>
      </c>
      <c r="G45" s="133">
        <f t="shared" si="8"/>
        <v>3.6576304407970999</v>
      </c>
      <c r="H45" s="58"/>
      <c r="I45" s="58"/>
      <c r="J45" s="58"/>
      <c r="K45" s="58"/>
      <c r="L45" s="58"/>
      <c r="M45" s="58"/>
      <c r="N45" s="58"/>
      <c r="O45" s="58"/>
      <c r="P45" s="58"/>
      <c r="Q45" s="317"/>
      <c r="R45" s="338" t="s">
        <v>353</v>
      </c>
      <c r="S45" s="336">
        <f t="shared" si="4"/>
        <v>535086.64671925537</v>
      </c>
      <c r="T45" s="336">
        <f>(Data!AN42+Data!DA42)/T$6*100000*T$3</f>
        <v>15895.724050230489</v>
      </c>
      <c r="U45" s="336">
        <f>(Data!AO42+Data!DB42)/U$6*100000*U$3</f>
        <v>0</v>
      </c>
      <c r="V45" s="336">
        <f>(Data!AP42+Data!DC42)/V$6*100000*V$3</f>
        <v>0</v>
      </c>
      <c r="W45" s="336">
        <f>(Data!AQ42+Data!DD42)/W$6*100000*W$3</f>
        <v>4210.0198472364227</v>
      </c>
      <c r="X45" s="336">
        <f>(Data!AR42+Data!DE42)/X$6*100000*X$3</f>
        <v>0</v>
      </c>
      <c r="Y45" s="336">
        <f>(Data!AS42+Data!DF42)/Y$6*100000*Y$3</f>
        <v>0</v>
      </c>
      <c r="Z45" s="336">
        <f>(Data!AT42+Data!DG42)/Z$6*100000*Z$3</f>
        <v>3930.1334561032168</v>
      </c>
      <c r="AA45" s="336">
        <f>(Data!AU42+Data!DH42)/AA$6*100000*AA$3</f>
        <v>7938.6681183088376</v>
      </c>
      <c r="AB45" s="336">
        <f>(Data!AV42+Data!DI42)/AB$6*100000*AB$3</f>
        <v>14160.58098840855</v>
      </c>
      <c r="AC45" s="336">
        <f>(Data!AW42+Data!DJ42)/AC$6*100000*AC$3</f>
        <v>6736.5989798864402</v>
      </c>
      <c r="AD45" s="336">
        <f>(Data!AX42+Data!DK42)/AD$6*100000*AD$3</f>
        <v>43518.419837294401</v>
      </c>
      <c r="AE45" s="336">
        <f>(Data!AY42+Data!DL42)/AE$6*100000*AE$3</f>
        <v>50647.395645261895</v>
      </c>
      <c r="AF45" s="336">
        <f>(Data!AZ42+Data!DM42)/AF$6*100000*AF$3</f>
        <v>70323.900163503073</v>
      </c>
      <c r="AG45" s="336">
        <f>(Data!BA42+Data!DN42)/AG$6*100000*AG$3</f>
        <v>60581.444179018174</v>
      </c>
      <c r="AH45" s="336">
        <f>(Data!BB42+Data!DO42)/AH$6*100000*AH$3</f>
        <v>79829.089720294083</v>
      </c>
      <c r="AI45" s="336">
        <f>(Data!BC42+Data!DP42)/AI$6*100000*AI$3</f>
        <v>79642.273455064336</v>
      </c>
      <c r="AJ45" s="336">
        <f>(Data!BD42+Data!DQ42)/AJ$6*100000*AJ$3</f>
        <v>51203.277009728627</v>
      </c>
      <c r="AK45" s="336">
        <f>(Data!BE42+Data!DR42)/AK$6*100000*AK$3</f>
        <v>46469.121268916802</v>
      </c>
      <c r="AL45" s="338" t="s">
        <v>353</v>
      </c>
      <c r="AM45" s="336">
        <f t="shared" si="5"/>
        <v>365763.04407970997</v>
      </c>
      <c r="AN45" s="336">
        <f>(Data!AN42+Data!DA42)/AN$6*100000*AN$3</f>
        <v>23843.586075345731</v>
      </c>
      <c r="AO45" s="336">
        <f>(Data!AO42+Data!DB42)/AO$6*100000*AO$3</f>
        <v>0</v>
      </c>
      <c r="AP45" s="336">
        <f>(Data!AP42+Data!DC42)/AP$6*100000*AP$3</f>
        <v>0</v>
      </c>
      <c r="AQ45" s="336">
        <f>(Data!AQ42+Data!DD42)/AQ$6*100000*AQ$3</f>
        <v>5412.8826607325436</v>
      </c>
      <c r="AR45" s="336">
        <f>(Data!AR42+Data!DE42)/AR$6*100000*AR$3</f>
        <v>0</v>
      </c>
      <c r="AS45" s="336">
        <f>(Data!AS42+Data!DF42)/AS$6*100000*AS$3</f>
        <v>0</v>
      </c>
      <c r="AT45" s="336">
        <f>(Data!AT42+Data!DG42)/AT$6*100000*AT$3</f>
        <v>3368.685819517043</v>
      </c>
      <c r="AU45" s="336">
        <f>(Data!AU42+Data!DH42)/AU$6*100000*AU$3</f>
        <v>6804.572672836146</v>
      </c>
      <c r="AV45" s="336">
        <f>(Data!AV42+Data!DI42)/AV$6*100000*AV$3</f>
        <v>12137.640847207329</v>
      </c>
      <c r="AW45" s="336">
        <f>(Data!AW42+Data!DJ42)/AW$6*100000*AW$3</f>
        <v>5774.2276970455196</v>
      </c>
      <c r="AX45" s="336">
        <f>(Data!AX42+Data!DK42)/AX$6*100000*AX$3</f>
        <v>31084.585598067428</v>
      </c>
      <c r="AY45" s="336">
        <f>(Data!AY42+Data!DL42)/AY$6*100000*AY$3</f>
        <v>33764.930430174594</v>
      </c>
      <c r="AZ45" s="336">
        <f>(Data!AZ42+Data!DM42)/AZ$6*100000*AZ$3</f>
        <v>56259.120130802461</v>
      </c>
      <c r="BA45" s="336">
        <f>(Data!BA42+Data!DN42)/BA$6*100000*BA$3</f>
        <v>45436.08313426363</v>
      </c>
      <c r="BB45" s="336">
        <f>(Data!BB42+Data!DO42)/BB$6*100000*BB$3</f>
        <v>53219.39314686272</v>
      </c>
      <c r="BC45" s="336">
        <f>(Data!BC42+Data!DP42)/BC$6*100000*BC$3</f>
        <v>39821.136727532168</v>
      </c>
      <c r="BD45" s="336">
        <f>(Data!BD42+Data!DQ42)/BD$6*100000*BD$3</f>
        <v>25601.638504864313</v>
      </c>
      <c r="BE45" s="336">
        <f>(Data!BE42+Data!DR42)/BE$6*100000*BE$3</f>
        <v>23234.560634458401</v>
      </c>
    </row>
    <row r="46" spans="1:57" ht="12" customHeight="1">
      <c r="A46" s="30"/>
      <c r="B46" s="150" t="str">
        <f>UPPER(LEFT(TRIM(Data!B43),1)) &amp; MID(TRIM(Data!B43),2,50)</f>
        <v>Kiti limfinio, kraujodaros audinių</v>
      </c>
      <c r="C46" s="129" t="str">
        <f>Data!C43</f>
        <v>C88, C96</v>
      </c>
      <c r="D46" s="142">
        <f>Data!E43+Data!BR43</f>
        <v>4</v>
      </c>
      <c r="E46" s="131">
        <f t="shared" si="6"/>
        <v>0.13769789769734689</v>
      </c>
      <c r="F46" s="132">
        <f t="shared" si="7"/>
        <v>9.0703453072216667E-2</v>
      </c>
      <c r="G46" s="133">
        <f t="shared" si="8"/>
        <v>5.8896964184608616E-2</v>
      </c>
      <c r="H46" s="58"/>
      <c r="I46" s="58"/>
      <c r="J46" s="58"/>
      <c r="K46" s="58"/>
      <c r="L46" s="58"/>
      <c r="M46" s="58"/>
      <c r="N46" s="58"/>
      <c r="O46" s="58"/>
      <c r="P46" s="58"/>
      <c r="Q46" s="317"/>
      <c r="R46" s="338" t="s">
        <v>353</v>
      </c>
      <c r="S46" s="336">
        <f t="shared" si="4"/>
        <v>9070.3453072216671</v>
      </c>
      <c r="T46" s="336">
        <f>(Data!AN43+Data!DA43)/T$6*100000*T$3</f>
        <v>0</v>
      </c>
      <c r="U46" s="336">
        <f>(Data!AO43+Data!DB43)/U$6*100000*U$3</f>
        <v>0</v>
      </c>
      <c r="V46" s="336">
        <f>(Data!AP43+Data!DC43)/V$6*100000*V$3</f>
        <v>0</v>
      </c>
      <c r="W46" s="336">
        <f>(Data!AQ43+Data!DD43)/W$6*100000*W$3</f>
        <v>0</v>
      </c>
      <c r="X46" s="336">
        <f>(Data!AR43+Data!DE43)/X$6*100000*X$3</f>
        <v>0</v>
      </c>
      <c r="Y46" s="336">
        <f>(Data!AS43+Data!DF43)/Y$6*100000*Y$3</f>
        <v>0</v>
      </c>
      <c r="Z46" s="336">
        <f>(Data!AT43+Data!DG43)/Z$6*100000*Z$3</f>
        <v>0</v>
      </c>
      <c r="AA46" s="336">
        <f>(Data!AU43+Data!DH43)/AA$6*100000*AA$3</f>
        <v>0</v>
      </c>
      <c r="AB46" s="336">
        <f>(Data!AV43+Data!DI43)/AB$6*100000*AB$3</f>
        <v>0</v>
      </c>
      <c r="AC46" s="336">
        <f>(Data!AW43+Data!DJ43)/AC$6*100000*AC$3</f>
        <v>0</v>
      </c>
      <c r="AD46" s="336">
        <f>(Data!AX43+Data!DK43)/AD$6*100000*AD$3</f>
        <v>3108.4585598067429</v>
      </c>
      <c r="AE46" s="336">
        <f>(Data!AY43+Data!DL43)/AE$6*100000*AE$3</f>
        <v>0</v>
      </c>
      <c r="AF46" s="336">
        <f>(Data!AZ43+Data!DM43)/AF$6*100000*AF$3</f>
        <v>0</v>
      </c>
      <c r="AG46" s="336">
        <f>(Data!BA43+Data!DN43)/AG$6*100000*AG$3</f>
        <v>2753.7020081371898</v>
      </c>
      <c r="AH46" s="336">
        <f>(Data!BB43+Data!DO43)/AH$6*100000*AH$3</f>
        <v>0</v>
      </c>
      <c r="AI46" s="336">
        <f>(Data!BC43+Data!DP43)/AI$6*100000*AI$3</f>
        <v>1659.2140303138403</v>
      </c>
      <c r="AJ46" s="336">
        <f>(Data!BD43+Data!DQ43)/AJ$6*100000*AJ$3</f>
        <v>0</v>
      </c>
      <c r="AK46" s="336">
        <f>(Data!BE43+Data!DR43)/AK$6*100000*AK$3</f>
        <v>1548.9707089638935</v>
      </c>
      <c r="AL46" s="338" t="s">
        <v>353</v>
      </c>
      <c r="AM46" s="336">
        <f t="shared" si="5"/>
        <v>5889.6964184608614</v>
      </c>
      <c r="AN46" s="336">
        <f>(Data!AN43+Data!DA43)/AN$6*100000*AN$3</f>
        <v>0</v>
      </c>
      <c r="AO46" s="336">
        <f>(Data!AO43+Data!DB43)/AO$6*100000*AO$3</f>
        <v>0</v>
      </c>
      <c r="AP46" s="336">
        <f>(Data!AP43+Data!DC43)/AP$6*100000*AP$3</f>
        <v>0</v>
      </c>
      <c r="AQ46" s="336">
        <f>(Data!AQ43+Data!DD43)/AQ$6*100000*AQ$3</f>
        <v>0</v>
      </c>
      <c r="AR46" s="336">
        <f>(Data!AR43+Data!DE43)/AR$6*100000*AR$3</f>
        <v>0</v>
      </c>
      <c r="AS46" s="336">
        <f>(Data!AS43+Data!DF43)/AS$6*100000*AS$3</f>
        <v>0</v>
      </c>
      <c r="AT46" s="336">
        <f>(Data!AT43+Data!DG43)/AT$6*100000*AT$3</f>
        <v>0</v>
      </c>
      <c r="AU46" s="336">
        <f>(Data!AU43+Data!DH43)/AU$6*100000*AU$3</f>
        <v>0</v>
      </c>
      <c r="AV46" s="336">
        <f>(Data!AV43+Data!DI43)/AV$6*100000*AV$3</f>
        <v>0</v>
      </c>
      <c r="AW46" s="336">
        <f>(Data!AW43+Data!DJ43)/AW$6*100000*AW$3</f>
        <v>0</v>
      </c>
      <c r="AX46" s="336">
        <f>(Data!AX43+Data!DK43)/AX$6*100000*AX$3</f>
        <v>2220.327542719102</v>
      </c>
      <c r="AY46" s="336">
        <f>(Data!AY43+Data!DL43)/AY$6*100000*AY$3</f>
        <v>0</v>
      </c>
      <c r="AZ46" s="336">
        <f>(Data!AZ43+Data!DM43)/AZ$6*100000*AZ$3</f>
        <v>0</v>
      </c>
      <c r="BA46" s="336">
        <f>(Data!BA43+Data!DN43)/BA$6*100000*BA$3</f>
        <v>2065.2765061028922</v>
      </c>
      <c r="BB46" s="336">
        <f>(Data!BB43+Data!DO43)/BB$6*100000*BB$3</f>
        <v>0</v>
      </c>
      <c r="BC46" s="336">
        <f>(Data!BC43+Data!DP43)/BC$6*100000*BC$3</f>
        <v>829.60701515692017</v>
      </c>
      <c r="BD46" s="336">
        <f>(Data!BD43+Data!DQ43)/BD$6*100000*BD$3</f>
        <v>0</v>
      </c>
      <c r="BE46" s="336">
        <f>(Data!BE43+Data!DR43)/BE$6*100000*BE$3</f>
        <v>774.48535448194673</v>
      </c>
    </row>
    <row r="47" spans="1:57" ht="24" customHeight="1">
      <c r="A47" s="30"/>
      <c r="B47" s="138"/>
      <c r="C47" s="138"/>
      <c r="D47" s="139"/>
      <c r="E47" s="140"/>
      <c r="F47" s="141"/>
      <c r="G47" s="141"/>
      <c r="H47" s="58"/>
      <c r="I47" s="58"/>
      <c r="J47" s="58"/>
      <c r="K47" s="58"/>
      <c r="L47" s="58"/>
      <c r="M47" s="58"/>
      <c r="N47" s="58"/>
      <c r="O47" s="58"/>
      <c r="P47" s="58"/>
      <c r="Q47" s="317"/>
      <c r="R47" s="338"/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336"/>
      <c r="AD47" s="336"/>
      <c r="AE47" s="336"/>
      <c r="AF47" s="336"/>
      <c r="AG47" s="336"/>
      <c r="AH47" s="336"/>
      <c r="AI47" s="336"/>
      <c r="AJ47" s="336"/>
      <c r="AK47" s="336"/>
      <c r="AL47" s="338"/>
      <c r="AM47" s="336"/>
      <c r="AN47" s="336"/>
      <c r="AO47" s="336"/>
      <c r="AP47" s="336"/>
      <c r="AQ47" s="336"/>
      <c r="AR47" s="336"/>
      <c r="AS47" s="336"/>
      <c r="AT47" s="336"/>
      <c r="AU47" s="336"/>
      <c r="AV47" s="336"/>
      <c r="AW47" s="336"/>
      <c r="AX47" s="336"/>
      <c r="AY47" s="336"/>
      <c r="AZ47" s="336"/>
      <c r="BA47" s="336"/>
      <c r="BB47" s="336"/>
      <c r="BC47" s="336"/>
      <c r="BD47" s="336"/>
      <c r="BE47" s="336"/>
    </row>
    <row r="48" spans="1:57" ht="12" customHeight="1">
      <c r="A48" s="30"/>
      <c r="B48" s="145" t="str">
        <f>UPPER(LEFT(TRIM(Data!B44),1)) &amp; MID(TRIM(Data!B44),2,50)</f>
        <v>Melanoma in situ</v>
      </c>
      <c r="C48" s="145" t="str">
        <f>Data!C44</f>
        <v>D03</v>
      </c>
      <c r="D48" s="146">
        <f>Data!E44</f>
        <v>0</v>
      </c>
      <c r="E48" s="147">
        <f t="shared" si="2"/>
        <v>0</v>
      </c>
      <c r="F48" s="148">
        <f t="shared" si="3"/>
        <v>0</v>
      </c>
      <c r="G48" s="148">
        <f t="shared" ref="G48" si="14">AM48/$AM$3</f>
        <v>0</v>
      </c>
      <c r="H48" s="58"/>
      <c r="I48" s="58"/>
      <c r="J48" s="58"/>
      <c r="K48" s="58"/>
      <c r="L48" s="58"/>
      <c r="M48" s="58"/>
      <c r="N48" s="58"/>
      <c r="O48" s="58"/>
      <c r="P48" s="58"/>
      <c r="Q48" s="317"/>
      <c r="R48" s="338" t="s">
        <v>353</v>
      </c>
      <c r="S48" s="336">
        <f t="shared" si="4"/>
        <v>0</v>
      </c>
      <c r="T48" s="336">
        <f>(Data!AN44+Data!DA44)/T$6*100000*T$3</f>
        <v>0</v>
      </c>
      <c r="U48" s="336">
        <f>(Data!AO44+Data!DB44)/U$6*100000*U$3</f>
        <v>0</v>
      </c>
      <c r="V48" s="336">
        <f>(Data!AP44+Data!DC44)/V$6*100000*V$3</f>
        <v>0</v>
      </c>
      <c r="W48" s="336">
        <f>(Data!AQ44+Data!DD44)/W$6*100000*W$3</f>
        <v>0</v>
      </c>
      <c r="X48" s="336">
        <f>(Data!AR44+Data!DE44)/X$6*100000*X$3</f>
        <v>0</v>
      </c>
      <c r="Y48" s="336">
        <f>(Data!AS44+Data!DF44)/Y$6*100000*Y$3</f>
        <v>0</v>
      </c>
      <c r="Z48" s="336">
        <f>(Data!AT44+Data!DG44)/Z$6*100000*Z$3</f>
        <v>0</v>
      </c>
      <c r="AA48" s="336">
        <f>(Data!AU44+Data!DH44)/AA$6*100000*AA$3</f>
        <v>0</v>
      </c>
      <c r="AB48" s="336">
        <f>(Data!AV44+Data!DI44)/AB$6*100000*AB$3</f>
        <v>0</v>
      </c>
      <c r="AC48" s="336">
        <f>(Data!AW44+Data!DJ44)/AC$6*100000*AC$3</f>
        <v>0</v>
      </c>
      <c r="AD48" s="336">
        <f>(Data!AX44+Data!DK44)/AD$6*100000*AD$3</f>
        <v>0</v>
      </c>
      <c r="AE48" s="336">
        <f>(Data!AY44+Data!DL44)/AE$6*100000*AE$3</f>
        <v>0</v>
      </c>
      <c r="AF48" s="336">
        <f>(Data!AZ44+Data!DM44)/AF$6*100000*AF$3</f>
        <v>0</v>
      </c>
      <c r="AG48" s="336">
        <f>(Data!BA44+Data!DN44)/AG$6*100000*AG$3</f>
        <v>0</v>
      </c>
      <c r="AH48" s="336">
        <f>(Data!BB44+Data!DO44)/AH$6*100000*AH$3</f>
        <v>0</v>
      </c>
      <c r="AI48" s="336">
        <f>(Data!BC44+Data!DP44)/AI$6*100000*AI$3</f>
        <v>0</v>
      </c>
      <c r="AJ48" s="336">
        <f>(Data!BD44+Data!DQ44)/AJ$6*100000*AJ$3</f>
        <v>0</v>
      </c>
      <c r="AK48" s="336">
        <f>(Data!BE44+Data!DR44)/AK$6*100000*AK$3</f>
        <v>0</v>
      </c>
      <c r="AL48" s="338" t="s">
        <v>353</v>
      </c>
      <c r="AM48" s="336">
        <f t="shared" si="5"/>
        <v>0</v>
      </c>
      <c r="AN48" s="336">
        <f>(Data!AN44+Data!DA44)/AN$6*100000*AN$3</f>
        <v>0</v>
      </c>
      <c r="AO48" s="336">
        <f>(Data!AO44+Data!DB44)/AO$6*100000*AO$3</f>
        <v>0</v>
      </c>
      <c r="AP48" s="336">
        <f>(Data!AP44+Data!DC44)/AP$6*100000*AP$3</f>
        <v>0</v>
      </c>
      <c r="AQ48" s="336">
        <f>(Data!AQ44+Data!DD44)/AQ$6*100000*AQ$3</f>
        <v>0</v>
      </c>
      <c r="AR48" s="336">
        <f>(Data!AR44+Data!DE44)/AR$6*100000*AR$3</f>
        <v>0</v>
      </c>
      <c r="AS48" s="336">
        <f>(Data!AS44+Data!DF44)/AS$6*100000*AS$3</f>
        <v>0</v>
      </c>
      <c r="AT48" s="336">
        <f>(Data!AT44+Data!DG44)/AT$6*100000*AT$3</f>
        <v>0</v>
      </c>
      <c r="AU48" s="336">
        <f>(Data!AU44+Data!DH44)/AU$6*100000*AU$3</f>
        <v>0</v>
      </c>
      <c r="AV48" s="336">
        <f>(Data!AV44+Data!DI44)/AV$6*100000*AV$3</f>
        <v>0</v>
      </c>
      <c r="AW48" s="336">
        <f>(Data!AW44+Data!DJ44)/AW$6*100000*AW$3</f>
        <v>0</v>
      </c>
      <c r="AX48" s="336">
        <f>(Data!AX44+Data!DK44)/AX$6*100000*AX$3</f>
        <v>0</v>
      </c>
      <c r="AY48" s="336">
        <f>(Data!AY44+Data!DL44)/AY$6*100000*AY$3</f>
        <v>0</v>
      </c>
      <c r="AZ48" s="336">
        <f>(Data!AZ44+Data!DM44)/AZ$6*100000*AZ$3</f>
        <v>0</v>
      </c>
      <c r="BA48" s="336">
        <f>(Data!BA44+Data!DN44)/BA$6*100000*BA$3</f>
        <v>0</v>
      </c>
      <c r="BB48" s="336">
        <f>(Data!BB44+Data!DO44)/BB$6*100000*BB$3</f>
        <v>0</v>
      </c>
      <c r="BC48" s="336">
        <f>(Data!BC44+Data!DP44)/BC$6*100000*BC$3</f>
        <v>0</v>
      </c>
      <c r="BD48" s="336">
        <f>(Data!BD44+Data!DQ44)/BD$6*100000*BD$3</f>
        <v>0</v>
      </c>
      <c r="BE48" s="336">
        <f>(Data!BE44+Data!DR44)/BE$6*100000*BE$3</f>
        <v>0</v>
      </c>
    </row>
    <row r="49" spans="1:69" ht="12" customHeight="1">
      <c r="A49" s="30"/>
      <c r="B49" s="145" t="str">
        <f>UPPER(LEFT(TRIM(Data!B45),1)) &amp; MID(TRIM(Data!B45),2,50)</f>
        <v>Krūties navikai in situ</v>
      </c>
      <c r="C49" s="145" t="str">
        <f>Data!C45</f>
        <v>D05</v>
      </c>
      <c r="D49" s="146">
        <f>Data!E45</f>
        <v>0</v>
      </c>
      <c r="E49" s="147">
        <f t="shared" ref="E49:E55" si="15">D49/$S$6*100000</f>
        <v>0</v>
      </c>
      <c r="F49" s="148">
        <f t="shared" ref="F49:F55" si="16">S49/$S$3</f>
        <v>0</v>
      </c>
      <c r="G49" s="148">
        <f t="shared" ref="G49:G55" si="17">AM49/$AM$3</f>
        <v>0</v>
      </c>
      <c r="H49" s="58"/>
      <c r="I49" s="58"/>
      <c r="J49" s="58"/>
      <c r="K49" s="58"/>
      <c r="L49" s="58"/>
      <c r="M49" s="58"/>
      <c r="N49" s="58"/>
      <c r="O49" s="58"/>
      <c r="P49" s="58"/>
      <c r="Q49" s="317"/>
      <c r="R49" s="338" t="s">
        <v>353</v>
      </c>
      <c r="S49" s="336">
        <f t="shared" si="4"/>
        <v>0</v>
      </c>
      <c r="T49" s="336">
        <f>(Data!AN45+Data!DA45)/T$6*100000*T$3</f>
        <v>0</v>
      </c>
      <c r="U49" s="336">
        <f>(Data!AO45+Data!DB45)/U$6*100000*U$3</f>
        <v>0</v>
      </c>
      <c r="V49" s="336">
        <f>(Data!AP45+Data!DC45)/V$6*100000*V$3</f>
        <v>0</v>
      </c>
      <c r="W49" s="336">
        <f>(Data!AQ45+Data!DD45)/W$6*100000*W$3</f>
        <v>0</v>
      </c>
      <c r="X49" s="336">
        <f>(Data!AR45+Data!DE45)/X$6*100000*X$3</f>
        <v>0</v>
      </c>
      <c r="Y49" s="336">
        <f>(Data!AS45+Data!DF45)/Y$6*100000*Y$3</f>
        <v>0</v>
      </c>
      <c r="Z49" s="336">
        <f>(Data!AT45+Data!DG45)/Z$6*100000*Z$3</f>
        <v>0</v>
      </c>
      <c r="AA49" s="336">
        <f>(Data!AU45+Data!DH45)/AA$6*100000*AA$3</f>
        <v>0</v>
      </c>
      <c r="AB49" s="336">
        <f>(Data!AV45+Data!DI45)/AB$6*100000*AB$3</f>
        <v>0</v>
      </c>
      <c r="AC49" s="336">
        <f>(Data!AW45+Data!DJ45)/AC$6*100000*AC$3</f>
        <v>0</v>
      </c>
      <c r="AD49" s="336">
        <f>(Data!AX45+Data!DK45)/AD$6*100000*AD$3</f>
        <v>0</v>
      </c>
      <c r="AE49" s="336">
        <f>(Data!AY45+Data!DL45)/AE$6*100000*AE$3</f>
        <v>0</v>
      </c>
      <c r="AF49" s="336">
        <f>(Data!AZ45+Data!DM45)/AF$6*100000*AF$3</f>
        <v>0</v>
      </c>
      <c r="AG49" s="336">
        <f>(Data!BA45+Data!DN45)/AG$6*100000*AG$3</f>
        <v>0</v>
      </c>
      <c r="AH49" s="336">
        <f>(Data!BB45+Data!DO45)/AH$6*100000*AH$3</f>
        <v>0</v>
      </c>
      <c r="AI49" s="336">
        <f>(Data!BC45+Data!DP45)/AI$6*100000*AI$3</f>
        <v>0</v>
      </c>
      <c r="AJ49" s="336">
        <f>(Data!BD45+Data!DQ45)/AJ$6*100000*AJ$3</f>
        <v>0</v>
      </c>
      <c r="AK49" s="336">
        <f>(Data!BE45+Data!DR45)/AK$6*100000*AK$3</f>
        <v>0</v>
      </c>
      <c r="AL49" s="338" t="s">
        <v>353</v>
      </c>
      <c r="AM49" s="336">
        <f t="shared" si="5"/>
        <v>0</v>
      </c>
      <c r="AN49" s="336">
        <f>(Data!AN45+Data!DA45)/AN$6*100000*AN$3</f>
        <v>0</v>
      </c>
      <c r="AO49" s="336">
        <f>(Data!AO45+Data!DB45)/AO$6*100000*AO$3</f>
        <v>0</v>
      </c>
      <c r="AP49" s="336">
        <f>(Data!AP45+Data!DC45)/AP$6*100000*AP$3</f>
        <v>0</v>
      </c>
      <c r="AQ49" s="336">
        <f>(Data!AQ45+Data!DD45)/AQ$6*100000*AQ$3</f>
        <v>0</v>
      </c>
      <c r="AR49" s="336">
        <f>(Data!AR45+Data!DE45)/AR$6*100000*AR$3</f>
        <v>0</v>
      </c>
      <c r="AS49" s="336">
        <f>(Data!AS45+Data!DF45)/AS$6*100000*AS$3</f>
        <v>0</v>
      </c>
      <c r="AT49" s="336">
        <f>(Data!AT45+Data!DG45)/AT$6*100000*AT$3</f>
        <v>0</v>
      </c>
      <c r="AU49" s="336">
        <f>(Data!AU45+Data!DH45)/AU$6*100000*AU$3</f>
        <v>0</v>
      </c>
      <c r="AV49" s="336">
        <f>(Data!AV45+Data!DI45)/AV$6*100000*AV$3</f>
        <v>0</v>
      </c>
      <c r="AW49" s="336">
        <f>(Data!AW45+Data!DJ45)/AW$6*100000*AW$3</f>
        <v>0</v>
      </c>
      <c r="AX49" s="336">
        <f>(Data!AX45+Data!DK45)/AX$6*100000*AX$3</f>
        <v>0</v>
      </c>
      <c r="AY49" s="336">
        <f>(Data!AY45+Data!DL45)/AY$6*100000*AY$3</f>
        <v>0</v>
      </c>
      <c r="AZ49" s="336">
        <f>(Data!AZ45+Data!DM45)/AZ$6*100000*AZ$3</f>
        <v>0</v>
      </c>
      <c r="BA49" s="336">
        <f>(Data!BA45+Data!DN45)/BA$6*100000*BA$3</f>
        <v>0</v>
      </c>
      <c r="BB49" s="336">
        <f>(Data!BB45+Data!DO45)/BB$6*100000*BB$3</f>
        <v>0</v>
      </c>
      <c r="BC49" s="336">
        <f>(Data!BC45+Data!DP45)/BC$6*100000*BC$3</f>
        <v>0</v>
      </c>
      <c r="BD49" s="336">
        <f>(Data!BD45+Data!DQ45)/BD$6*100000*BD$3</f>
        <v>0</v>
      </c>
      <c r="BE49" s="336">
        <f>(Data!BE45+Data!DR45)/BE$6*100000*BE$3</f>
        <v>0</v>
      </c>
    </row>
    <row r="50" spans="1:69" s="214" customFormat="1" ht="12" customHeight="1">
      <c r="B50" s="215" t="str">
        <f>UPPER(LEFT(TRIM(Data!B46),1)) &amp; MID(TRIM(Data!B46),2,50)</f>
        <v>Gimdos kaklelio in situ</v>
      </c>
      <c r="C50" s="215" t="str">
        <f>Data!C46</f>
        <v>D06</v>
      </c>
      <c r="D50" s="220">
        <f>Lent10m!D46</f>
        <v>0</v>
      </c>
      <c r="E50" s="216">
        <f>Lent10m!E46</f>
        <v>0</v>
      </c>
      <c r="F50" s="217">
        <f>Lent10m!F46</f>
        <v>0</v>
      </c>
      <c r="G50" s="217">
        <f>Lent10m!G46</f>
        <v>0</v>
      </c>
      <c r="H50" s="218"/>
      <c r="I50" s="218"/>
      <c r="J50" s="218"/>
      <c r="K50" s="218"/>
      <c r="L50" s="218"/>
      <c r="M50" s="218"/>
      <c r="N50" s="218"/>
      <c r="O50" s="218"/>
      <c r="P50" s="218"/>
      <c r="Q50" s="340"/>
      <c r="R50" s="341"/>
      <c r="S50" s="342"/>
      <c r="T50" s="342"/>
      <c r="U50" s="342"/>
      <c r="V50" s="342"/>
      <c r="W50" s="342"/>
      <c r="X50" s="342"/>
      <c r="Y50" s="342"/>
      <c r="Z50" s="342"/>
      <c r="AA50" s="342"/>
      <c r="AB50" s="342"/>
      <c r="AC50" s="342"/>
      <c r="AD50" s="342"/>
      <c r="AE50" s="342"/>
      <c r="AF50" s="342"/>
      <c r="AG50" s="342"/>
      <c r="AH50" s="342"/>
      <c r="AI50" s="342"/>
      <c r="AJ50" s="342"/>
      <c r="AK50" s="342"/>
      <c r="AL50" s="341"/>
      <c r="AM50" s="342"/>
      <c r="AN50" s="342"/>
      <c r="AO50" s="342"/>
      <c r="AP50" s="342"/>
      <c r="AQ50" s="342"/>
      <c r="AR50" s="342"/>
      <c r="AS50" s="342"/>
      <c r="AT50" s="342"/>
      <c r="AU50" s="342"/>
      <c r="AV50" s="342"/>
      <c r="AW50" s="342"/>
      <c r="AX50" s="342"/>
      <c r="AY50" s="342"/>
      <c r="AZ50" s="342"/>
      <c r="BA50" s="342"/>
      <c r="BB50" s="342"/>
      <c r="BC50" s="342"/>
      <c r="BD50" s="342"/>
      <c r="BE50" s="342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</row>
    <row r="51" spans="1:69" ht="12" customHeight="1">
      <c r="A51" s="30"/>
      <c r="B51" s="145" t="str">
        <f>UPPER(LEFT(TRIM(Data!B47),1)) &amp; MID(TRIM(Data!B47),2,50)</f>
        <v>Šlapimo pūslės in situ</v>
      </c>
      <c r="C51" s="145" t="str">
        <f>Data!C47</f>
        <v>D09.0</v>
      </c>
      <c r="D51" s="146">
        <f>Data!E47</f>
        <v>0</v>
      </c>
      <c r="E51" s="147">
        <f t="shared" si="15"/>
        <v>0</v>
      </c>
      <c r="F51" s="148">
        <f t="shared" si="16"/>
        <v>0</v>
      </c>
      <c r="G51" s="148">
        <f t="shared" si="17"/>
        <v>0</v>
      </c>
      <c r="H51" s="58"/>
      <c r="I51" s="58"/>
      <c r="J51" s="58"/>
      <c r="K51" s="58"/>
      <c r="L51" s="58"/>
      <c r="M51" s="58"/>
      <c r="N51" s="58"/>
      <c r="O51" s="58"/>
      <c r="P51" s="58"/>
      <c r="Q51" s="340"/>
      <c r="R51" s="341" t="s">
        <v>353</v>
      </c>
      <c r="S51" s="342">
        <f t="shared" si="4"/>
        <v>0</v>
      </c>
      <c r="T51" s="342">
        <f>(Data!AN47+Data!DA47)/T$6*100000*T$3</f>
        <v>0</v>
      </c>
      <c r="U51" s="342">
        <f>(Data!AO47+Data!DB47)/U$6*100000*U$3</f>
        <v>0</v>
      </c>
      <c r="V51" s="342">
        <f>(Data!AP47+Data!DC47)/V$6*100000*V$3</f>
        <v>0</v>
      </c>
      <c r="W51" s="342">
        <f>(Data!AQ47+Data!DD47)/W$6*100000*W$3</f>
        <v>0</v>
      </c>
      <c r="X51" s="342">
        <f>(Data!AR47+Data!DE47)/X$6*100000*X$3</f>
        <v>0</v>
      </c>
      <c r="Y51" s="342">
        <f>(Data!AS47+Data!DF47)/Y$6*100000*Y$3</f>
        <v>0</v>
      </c>
      <c r="Z51" s="342">
        <f>(Data!AT47+Data!DG47)/Z$6*100000*Z$3</f>
        <v>0</v>
      </c>
      <c r="AA51" s="342">
        <f>(Data!AU47+Data!DH47)/AA$6*100000*AA$3</f>
        <v>0</v>
      </c>
      <c r="AB51" s="342">
        <f>(Data!AV47+Data!DI47)/AB$6*100000*AB$3</f>
        <v>0</v>
      </c>
      <c r="AC51" s="342">
        <f>(Data!AW47+Data!DJ47)/AC$6*100000*AC$3</f>
        <v>0</v>
      </c>
      <c r="AD51" s="342">
        <f>(Data!AX47+Data!DK47)/AD$6*100000*AD$3</f>
        <v>0</v>
      </c>
      <c r="AE51" s="342">
        <f>(Data!AY47+Data!DL47)/AE$6*100000*AE$3</f>
        <v>0</v>
      </c>
      <c r="AF51" s="342">
        <f>(Data!AZ47+Data!DM47)/AF$6*100000*AF$3</f>
        <v>0</v>
      </c>
      <c r="AG51" s="342">
        <f>(Data!BA47+Data!DN47)/AG$6*100000*AG$3</f>
        <v>0</v>
      </c>
      <c r="AH51" s="342">
        <f>(Data!BB47+Data!DO47)/AH$6*100000*AH$3</f>
        <v>0</v>
      </c>
      <c r="AI51" s="342">
        <f>(Data!BC47+Data!DP47)/AI$6*100000*AI$3</f>
        <v>0</v>
      </c>
      <c r="AJ51" s="342">
        <f>(Data!BD47+Data!DQ47)/AJ$6*100000*AJ$3</f>
        <v>0</v>
      </c>
      <c r="AK51" s="342">
        <f>(Data!BE47+Data!DR47)/AK$6*100000*AK$3</f>
        <v>0</v>
      </c>
      <c r="AL51" s="341" t="s">
        <v>353</v>
      </c>
      <c r="AM51" s="342">
        <f t="shared" si="5"/>
        <v>0</v>
      </c>
      <c r="AN51" s="342">
        <f>(Data!AN47+Data!DA47)/AN$6*100000*AN$3</f>
        <v>0</v>
      </c>
      <c r="AO51" s="342">
        <f>(Data!AO47+Data!DB47)/AO$6*100000*AO$3</f>
        <v>0</v>
      </c>
      <c r="AP51" s="342">
        <f>(Data!AP47+Data!DC47)/AP$6*100000*AP$3</f>
        <v>0</v>
      </c>
      <c r="AQ51" s="342">
        <f>(Data!AQ47+Data!DD47)/AQ$6*100000*AQ$3</f>
        <v>0</v>
      </c>
      <c r="AR51" s="342">
        <f>(Data!AR47+Data!DE47)/AR$6*100000*AR$3</f>
        <v>0</v>
      </c>
      <c r="AS51" s="342">
        <f>(Data!AS47+Data!DF47)/AS$6*100000*AS$3</f>
        <v>0</v>
      </c>
      <c r="AT51" s="342">
        <f>(Data!AT47+Data!DG47)/AT$6*100000*AT$3</f>
        <v>0</v>
      </c>
      <c r="AU51" s="342">
        <f>(Data!AU47+Data!DH47)/AU$6*100000*AU$3</f>
        <v>0</v>
      </c>
      <c r="AV51" s="342">
        <f>(Data!AV47+Data!DI47)/AV$6*100000*AV$3</f>
        <v>0</v>
      </c>
      <c r="AW51" s="342">
        <f>(Data!AW47+Data!DJ47)/AW$6*100000*AW$3</f>
        <v>0</v>
      </c>
      <c r="AX51" s="342">
        <f>(Data!AX47+Data!DK47)/AX$6*100000*AX$3</f>
        <v>0</v>
      </c>
      <c r="AY51" s="342">
        <f>(Data!AY47+Data!DL47)/AY$6*100000*AY$3</f>
        <v>0</v>
      </c>
      <c r="AZ51" s="342">
        <f>(Data!AZ47+Data!DM47)/AZ$6*100000*AZ$3</f>
        <v>0</v>
      </c>
      <c r="BA51" s="342">
        <f>(Data!BA47+Data!DN47)/BA$6*100000*BA$3</f>
        <v>0</v>
      </c>
      <c r="BB51" s="342">
        <f>(Data!BB47+Data!DO47)/BB$6*100000*BB$3</f>
        <v>0</v>
      </c>
      <c r="BC51" s="342">
        <f>(Data!BC47+Data!DP47)/BC$6*100000*BC$3</f>
        <v>0</v>
      </c>
      <c r="BD51" s="342">
        <f>(Data!BD47+Data!DQ47)/BD$6*100000*BD$3</f>
        <v>0</v>
      </c>
      <c r="BE51" s="342">
        <f>(Data!BE47+Data!DR47)/BE$6*100000*BE$3</f>
        <v>0</v>
      </c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</row>
    <row r="52" spans="1:69" ht="12" customHeight="1">
      <c r="A52" s="30"/>
      <c r="B52" s="145" t="str">
        <f>UPPER(LEFT(TRIM(Data!B48),1)) &amp; MID(TRIM(Data!B48),2,50)</f>
        <v>Nervų sistemos gerybiniai navikai</v>
      </c>
      <c r="C52" s="145" t="str">
        <f>Data!C48</f>
        <v>D32, D33</v>
      </c>
      <c r="D52" s="146">
        <f>Data!E48</f>
        <v>12</v>
      </c>
      <c r="E52" s="147">
        <f t="shared" si="15"/>
        <v>0.41309369309204069</v>
      </c>
      <c r="F52" s="148">
        <f t="shared" si="16"/>
        <v>0.70937433189364874</v>
      </c>
      <c r="G52" s="148">
        <f t="shared" si="17"/>
        <v>0.46251367321286646</v>
      </c>
      <c r="H52" s="58"/>
      <c r="I52" s="58"/>
      <c r="J52" s="58"/>
      <c r="K52" s="58"/>
      <c r="L52" s="58"/>
      <c r="M52" s="58"/>
      <c r="N52" s="58"/>
      <c r="O52" s="58"/>
      <c r="P52" s="58"/>
      <c r="Q52" s="340"/>
      <c r="R52" s="341" t="s">
        <v>353</v>
      </c>
      <c r="S52" s="342">
        <f t="shared" si="4"/>
        <v>70937.433189364878</v>
      </c>
      <c r="T52" s="342">
        <f>(Data!AN48+Data!DA48)/T$6*100000*T$3</f>
        <v>0</v>
      </c>
      <c r="U52" s="342">
        <f>(Data!AO48+Data!DB48)/U$6*100000*U$3</f>
        <v>0</v>
      </c>
      <c r="V52" s="342">
        <f>(Data!AP48+Data!DC48)/V$6*100000*V$3</f>
        <v>0</v>
      </c>
      <c r="W52" s="342">
        <f>(Data!AQ48+Data!DD48)/W$6*100000*W$3</f>
        <v>0</v>
      </c>
      <c r="X52" s="342">
        <f>(Data!AR48+Data!DE48)/X$6*100000*X$3</f>
        <v>0</v>
      </c>
      <c r="Y52" s="342">
        <f>(Data!AS48+Data!DF48)/Y$6*100000*Y$3</f>
        <v>0</v>
      </c>
      <c r="Z52" s="342">
        <f>(Data!AT48+Data!DG48)/Z$6*100000*Z$3</f>
        <v>3930.1334561032168</v>
      </c>
      <c r="AA52" s="342">
        <f>(Data!AU48+Data!DH48)/AA$6*100000*AA$3</f>
        <v>0</v>
      </c>
      <c r="AB52" s="342">
        <f>(Data!AV48+Data!DI48)/AB$6*100000*AB$3</f>
        <v>0</v>
      </c>
      <c r="AC52" s="342">
        <f>(Data!AW48+Data!DJ48)/AC$6*100000*AC$3</f>
        <v>3368.2994899432201</v>
      </c>
      <c r="AD52" s="342">
        <f>(Data!AX48+Data!DK48)/AD$6*100000*AD$3</f>
        <v>3108.4585598067429</v>
      </c>
      <c r="AE52" s="342">
        <f>(Data!AY48+Data!DL48)/AE$6*100000*AE$3</f>
        <v>8441.2326075436486</v>
      </c>
      <c r="AF52" s="342">
        <f>(Data!AZ48+Data!DM48)/AF$6*100000*AF$3</f>
        <v>0</v>
      </c>
      <c r="AG52" s="342">
        <f>(Data!BA48+Data!DN48)/AG$6*100000*AG$3</f>
        <v>13768.510040685946</v>
      </c>
      <c r="AH52" s="342">
        <f>(Data!BB48+Data!DO48)/AH$6*100000*AH$3</f>
        <v>15965.817944058814</v>
      </c>
      <c r="AI52" s="342">
        <f>(Data!BC48+Data!DP48)/AI$6*100000*AI$3</f>
        <v>9955.284181883042</v>
      </c>
      <c r="AJ52" s="342">
        <f>(Data!BD48+Data!DQ48)/AJ$6*100000*AJ$3</f>
        <v>4654.8433645207842</v>
      </c>
      <c r="AK52" s="342">
        <f>(Data!BE48+Data!DR48)/AK$6*100000*AK$3</f>
        <v>7744.853544819468</v>
      </c>
      <c r="AL52" s="341" t="s">
        <v>353</v>
      </c>
      <c r="AM52" s="342">
        <f t="shared" si="5"/>
        <v>46251.367321286649</v>
      </c>
      <c r="AN52" s="342">
        <f>(Data!AN48+Data!DA48)/AN$6*100000*AN$3</f>
        <v>0</v>
      </c>
      <c r="AO52" s="342">
        <f>(Data!AO48+Data!DB48)/AO$6*100000*AO$3</f>
        <v>0</v>
      </c>
      <c r="AP52" s="342">
        <f>(Data!AP48+Data!DC48)/AP$6*100000*AP$3</f>
        <v>0</v>
      </c>
      <c r="AQ52" s="342">
        <f>(Data!AQ48+Data!DD48)/AQ$6*100000*AQ$3</f>
        <v>0</v>
      </c>
      <c r="AR52" s="342">
        <f>(Data!AR48+Data!DE48)/AR$6*100000*AR$3</f>
        <v>0</v>
      </c>
      <c r="AS52" s="342">
        <f>(Data!AS48+Data!DF48)/AS$6*100000*AS$3</f>
        <v>0</v>
      </c>
      <c r="AT52" s="342">
        <f>(Data!AT48+Data!DG48)/AT$6*100000*AT$3</f>
        <v>3368.685819517043</v>
      </c>
      <c r="AU52" s="342">
        <f>(Data!AU48+Data!DH48)/AU$6*100000*AU$3</f>
        <v>0</v>
      </c>
      <c r="AV52" s="342">
        <f>(Data!AV48+Data!DI48)/AV$6*100000*AV$3</f>
        <v>0</v>
      </c>
      <c r="AW52" s="342">
        <f>(Data!AW48+Data!DJ48)/AW$6*100000*AW$3</f>
        <v>2887.1138485227598</v>
      </c>
      <c r="AX52" s="342">
        <f>(Data!AX48+Data!DK48)/AX$6*100000*AX$3</f>
        <v>2220.327542719102</v>
      </c>
      <c r="AY52" s="342">
        <f>(Data!AY48+Data!DL48)/AY$6*100000*AY$3</f>
        <v>5627.4884050290984</v>
      </c>
      <c r="AZ52" s="342">
        <f>(Data!AZ48+Data!DM48)/AZ$6*100000*AZ$3</f>
        <v>0</v>
      </c>
      <c r="BA52" s="342">
        <f>(Data!BA48+Data!DN48)/BA$6*100000*BA$3</f>
        <v>10326.38253051446</v>
      </c>
      <c r="BB52" s="342">
        <f>(Data!BB48+Data!DO48)/BB$6*100000*BB$3</f>
        <v>10643.878629372542</v>
      </c>
      <c r="BC52" s="342">
        <f>(Data!BC48+Data!DP48)/BC$6*100000*BC$3</f>
        <v>4977.642090941521</v>
      </c>
      <c r="BD52" s="342">
        <f>(Data!BD48+Data!DQ48)/BD$6*100000*BD$3</f>
        <v>2327.4216822603921</v>
      </c>
      <c r="BE52" s="342">
        <f>(Data!BE48+Data!DR48)/BE$6*100000*BE$3</f>
        <v>3872.426772409734</v>
      </c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</row>
    <row r="53" spans="1:69" s="214" customFormat="1" ht="12" customHeight="1">
      <c r="B53" s="215" t="str">
        <f>UPPER(LEFT(TRIM(Data!B49),1)) &amp; MID(TRIM(Data!B49),2,50)</f>
        <v>Kiaušidžių</v>
      </c>
      <c r="C53" s="215" t="str">
        <f>Data!C49</f>
        <v>D39.1</v>
      </c>
      <c r="D53" s="220">
        <f>Lent10m!D49</f>
        <v>0</v>
      </c>
      <c r="E53" s="216">
        <f>Lent10m!E49</f>
        <v>0</v>
      </c>
      <c r="F53" s="217">
        <f>Lent10m!F49</f>
        <v>0</v>
      </c>
      <c r="G53" s="217">
        <f>Lent10m!G49</f>
        <v>0</v>
      </c>
      <c r="H53" s="218"/>
      <c r="I53" s="218"/>
      <c r="J53" s="218"/>
      <c r="K53" s="218"/>
      <c r="L53" s="218"/>
      <c r="M53" s="218"/>
      <c r="N53" s="218"/>
      <c r="O53" s="218"/>
      <c r="P53" s="218"/>
      <c r="Q53" s="340"/>
      <c r="R53" s="341"/>
      <c r="S53" s="342"/>
      <c r="T53" s="342"/>
      <c r="U53" s="342"/>
      <c r="V53" s="342"/>
      <c r="W53" s="342"/>
      <c r="X53" s="342"/>
      <c r="Y53" s="342"/>
      <c r="Z53" s="342"/>
      <c r="AA53" s="342"/>
      <c r="AB53" s="342"/>
      <c r="AC53" s="342"/>
      <c r="AD53" s="342"/>
      <c r="AE53" s="342"/>
      <c r="AF53" s="342"/>
      <c r="AG53" s="342"/>
      <c r="AH53" s="342"/>
      <c r="AI53" s="342"/>
      <c r="AJ53" s="342"/>
      <c r="AK53" s="342"/>
      <c r="AL53" s="341"/>
      <c r="AM53" s="342"/>
      <c r="AN53" s="342"/>
      <c r="AO53" s="342"/>
      <c r="AP53" s="342"/>
      <c r="AQ53" s="342"/>
      <c r="AR53" s="342"/>
      <c r="AS53" s="342"/>
      <c r="AT53" s="342"/>
      <c r="AU53" s="342"/>
      <c r="AV53" s="342"/>
      <c r="AW53" s="342"/>
      <c r="AX53" s="342"/>
      <c r="AY53" s="342"/>
      <c r="AZ53" s="342"/>
      <c r="BA53" s="342"/>
      <c r="BB53" s="342"/>
      <c r="BC53" s="342"/>
      <c r="BD53" s="342"/>
      <c r="BE53" s="342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</row>
    <row r="54" spans="1:69" ht="12" customHeight="1">
      <c r="A54" s="30"/>
      <c r="B54" s="145" t="str">
        <f>UPPER(LEFT(TRIM(Data!B50),1)) &amp; MID(TRIM(Data!B50),2,50)</f>
        <v>Kiti nervų sistemos</v>
      </c>
      <c r="C54" s="145" t="str">
        <f>Data!C50</f>
        <v>D42, D43</v>
      </c>
      <c r="D54" s="146">
        <f>Data!E50</f>
        <v>5</v>
      </c>
      <c r="E54" s="147">
        <f t="shared" si="15"/>
        <v>0.17212237212168363</v>
      </c>
      <c r="F54" s="148">
        <f t="shared" si="16"/>
        <v>0.25668829888188266</v>
      </c>
      <c r="G54" s="148">
        <f t="shared" si="17"/>
        <v>0.19761548795058723</v>
      </c>
      <c r="H54" s="58"/>
      <c r="I54" s="58"/>
      <c r="J54" s="58"/>
      <c r="K54" s="58"/>
      <c r="L54" s="58"/>
      <c r="M54" s="58"/>
      <c r="N54" s="58"/>
      <c r="O54" s="58"/>
      <c r="P54" s="58"/>
      <c r="Q54" s="317"/>
      <c r="R54" s="338" t="s">
        <v>353</v>
      </c>
      <c r="S54" s="336">
        <f t="shared" si="4"/>
        <v>25668.829888188266</v>
      </c>
      <c r="T54" s="336">
        <f>(Data!AN50+Data!DA50)/T$6*100000*T$3</f>
        <v>0</v>
      </c>
      <c r="U54" s="336">
        <f>(Data!AO50+Data!DB50)/U$6*100000*U$3</f>
        <v>0</v>
      </c>
      <c r="V54" s="336">
        <f>(Data!AP50+Data!DC50)/V$6*100000*V$3</f>
        <v>5214.5411203814065</v>
      </c>
      <c r="W54" s="336">
        <f>(Data!AQ50+Data!DD50)/W$6*100000*W$3</f>
        <v>0</v>
      </c>
      <c r="X54" s="336">
        <f>(Data!AR50+Data!DE50)/X$6*100000*X$3</f>
        <v>0</v>
      </c>
      <c r="Y54" s="336">
        <f>(Data!AS50+Data!DF50)/Y$6*100000*Y$3</f>
        <v>0</v>
      </c>
      <c r="Z54" s="336">
        <f>(Data!AT50+Data!DG50)/Z$6*100000*Z$3</f>
        <v>3930.1334561032168</v>
      </c>
      <c r="AA54" s="336">
        <f>(Data!AU50+Data!DH50)/AA$6*100000*AA$3</f>
        <v>0</v>
      </c>
      <c r="AB54" s="336">
        <f>(Data!AV50+Data!DI50)/AB$6*100000*AB$3</f>
        <v>0</v>
      </c>
      <c r="AC54" s="336">
        <f>(Data!AW50+Data!DJ50)/AC$6*100000*AC$3</f>
        <v>0</v>
      </c>
      <c r="AD54" s="336">
        <f>(Data!AX50+Data!DK50)/AD$6*100000*AD$3</f>
        <v>3108.4585598067429</v>
      </c>
      <c r="AE54" s="336">
        <f>(Data!AY50+Data!DL50)/AE$6*100000*AE$3</f>
        <v>0</v>
      </c>
      <c r="AF54" s="336">
        <f>(Data!AZ50+Data!DM50)/AF$6*100000*AF$3</f>
        <v>0</v>
      </c>
      <c r="AG54" s="336">
        <f>(Data!BA50+Data!DN50)/AG$6*100000*AG$3</f>
        <v>0</v>
      </c>
      <c r="AH54" s="336">
        <f>(Data!BB50+Data!DO50)/AH$6*100000*AH$3</f>
        <v>4561.6622697310904</v>
      </c>
      <c r="AI54" s="336">
        <f>(Data!BC50+Data!DP50)/AI$6*100000*AI$3</f>
        <v>4977.642090941521</v>
      </c>
      <c r="AJ54" s="336">
        <f>(Data!BD50+Data!DQ50)/AJ$6*100000*AJ$3</f>
        <v>2327.4216822603921</v>
      </c>
      <c r="AK54" s="336">
        <f>(Data!BE50+Data!DR50)/AK$6*100000*AK$3</f>
        <v>1548.9707089638935</v>
      </c>
      <c r="AL54" s="338" t="s">
        <v>353</v>
      </c>
      <c r="AM54" s="336">
        <f t="shared" si="5"/>
        <v>19761.548795058723</v>
      </c>
      <c r="AN54" s="336">
        <f>(Data!AN50+Data!DA50)/AN$6*100000*AN$3</f>
        <v>0</v>
      </c>
      <c r="AO54" s="336">
        <f>(Data!AO50+Data!DB50)/AO$6*100000*AO$3</f>
        <v>0</v>
      </c>
      <c r="AP54" s="336">
        <f>(Data!AP50+Data!DC50)/AP$6*100000*AP$3</f>
        <v>6704.4100119189507</v>
      </c>
      <c r="AQ54" s="336">
        <f>(Data!AQ50+Data!DD50)/AQ$6*100000*AQ$3</f>
        <v>0</v>
      </c>
      <c r="AR54" s="336">
        <f>(Data!AR50+Data!DE50)/AR$6*100000*AR$3</f>
        <v>0</v>
      </c>
      <c r="AS54" s="336">
        <f>(Data!AS50+Data!DF50)/AS$6*100000*AS$3</f>
        <v>0</v>
      </c>
      <c r="AT54" s="336">
        <f>(Data!AT50+Data!DG50)/AT$6*100000*AT$3</f>
        <v>3368.685819517043</v>
      </c>
      <c r="AU54" s="336">
        <f>(Data!AU50+Data!DH50)/AU$6*100000*AU$3</f>
        <v>0</v>
      </c>
      <c r="AV54" s="336">
        <f>(Data!AV50+Data!DI50)/AV$6*100000*AV$3</f>
        <v>0</v>
      </c>
      <c r="AW54" s="336">
        <f>(Data!AW50+Data!DJ50)/AW$6*100000*AW$3</f>
        <v>0</v>
      </c>
      <c r="AX54" s="336">
        <f>(Data!AX50+Data!DK50)/AX$6*100000*AX$3</f>
        <v>2220.327542719102</v>
      </c>
      <c r="AY54" s="336">
        <f>(Data!AY50+Data!DL50)/AY$6*100000*AY$3</f>
        <v>0</v>
      </c>
      <c r="AZ54" s="336">
        <f>(Data!AZ50+Data!DM50)/AZ$6*100000*AZ$3</f>
        <v>0</v>
      </c>
      <c r="BA54" s="336">
        <f>(Data!BA50+Data!DN50)/BA$6*100000*BA$3</f>
        <v>0</v>
      </c>
      <c r="BB54" s="336">
        <f>(Data!BB50+Data!DO50)/BB$6*100000*BB$3</f>
        <v>3041.1081798207265</v>
      </c>
      <c r="BC54" s="336">
        <f>(Data!BC50+Data!DP50)/BC$6*100000*BC$3</f>
        <v>2488.8210454707605</v>
      </c>
      <c r="BD54" s="336">
        <f>(Data!BD50+Data!DQ50)/BD$6*100000*BD$3</f>
        <v>1163.7108411301961</v>
      </c>
      <c r="BE54" s="336">
        <f>(Data!BE50+Data!DR50)/BE$6*100000*BE$3</f>
        <v>774.48535448194673</v>
      </c>
    </row>
    <row r="55" spans="1:69" ht="12" customHeight="1">
      <c r="A55" s="30"/>
      <c r="B55" s="145" t="str">
        <f>UPPER(LEFT(TRIM(Data!B51),1)) &amp; MID(TRIM(Data!B51),2,50)</f>
        <v>Limfinio ir kraujodaros audinių</v>
      </c>
      <c r="C55" s="145" t="str">
        <f>Data!C51</f>
        <v>D45-D47</v>
      </c>
      <c r="D55" s="146">
        <f>Data!E51</f>
        <v>35</v>
      </c>
      <c r="E55" s="147">
        <f t="shared" si="15"/>
        <v>1.2048566048517855</v>
      </c>
      <c r="F55" s="148">
        <f t="shared" si="16"/>
        <v>1.2426094550914688</v>
      </c>
      <c r="G55" s="148">
        <f t="shared" si="17"/>
        <v>0.82455515390051048</v>
      </c>
      <c r="H55" s="58"/>
      <c r="I55" s="58"/>
      <c r="J55" s="58"/>
      <c r="K55" s="58"/>
      <c r="L55" s="58"/>
      <c r="M55" s="58"/>
      <c r="N55" s="58"/>
      <c r="O55" s="58"/>
      <c r="P55" s="58"/>
      <c r="Q55" s="317"/>
      <c r="R55" s="338" t="s">
        <v>353</v>
      </c>
      <c r="S55" s="336">
        <f t="shared" si="4"/>
        <v>124260.94550914688</v>
      </c>
      <c r="T55" s="336">
        <f>(Data!AN51+Data!DA51)/T$6*100000*T$3</f>
        <v>5298.5746834101628</v>
      </c>
      <c r="U55" s="336">
        <f>(Data!AO51+Data!DB51)/U$6*100000*U$3</f>
        <v>0</v>
      </c>
      <c r="V55" s="336">
        <f>(Data!AP51+Data!DC51)/V$6*100000*V$3</f>
        <v>0</v>
      </c>
      <c r="W55" s="336">
        <f>(Data!AQ51+Data!DD51)/W$6*100000*W$3</f>
        <v>0</v>
      </c>
      <c r="X55" s="336">
        <f>(Data!AR51+Data!DE51)/X$6*100000*X$3</f>
        <v>3473.6868223209194</v>
      </c>
      <c r="Y55" s="336">
        <f>(Data!AS51+Data!DF51)/Y$6*100000*Y$3</f>
        <v>0</v>
      </c>
      <c r="Z55" s="336">
        <f>(Data!AT51+Data!DG51)/Z$6*100000*Z$3</f>
        <v>0</v>
      </c>
      <c r="AA55" s="336">
        <f>(Data!AU51+Data!DH51)/AA$6*100000*AA$3</f>
        <v>0</v>
      </c>
      <c r="AB55" s="336">
        <f>(Data!AV51+Data!DI51)/AB$6*100000*AB$3</f>
        <v>0</v>
      </c>
      <c r="AC55" s="336">
        <f>(Data!AW51+Data!DJ51)/AC$6*100000*AC$3</f>
        <v>0</v>
      </c>
      <c r="AD55" s="336">
        <f>(Data!AX51+Data!DK51)/AD$6*100000*AD$3</f>
        <v>6216.9171196134857</v>
      </c>
      <c r="AE55" s="336">
        <f>(Data!AY51+Data!DL51)/AE$6*100000*AE$3</f>
        <v>5627.4884050290993</v>
      </c>
      <c r="AF55" s="336">
        <f>(Data!AZ51+Data!DM51)/AF$6*100000*AF$3</f>
        <v>11720.650027250513</v>
      </c>
      <c r="AG55" s="336">
        <f>(Data!BA51+Data!DN51)/AG$6*100000*AG$3</f>
        <v>8261.106024411567</v>
      </c>
      <c r="AH55" s="336">
        <f>(Data!BB51+Data!DO51)/AH$6*100000*AH$3</f>
        <v>29650.804753252083</v>
      </c>
      <c r="AI55" s="336">
        <f>(Data!BC51+Data!DP51)/AI$6*100000*AI$3</f>
        <v>19910.568363766084</v>
      </c>
      <c r="AJ55" s="336">
        <f>(Data!BD51+Data!DQ51)/AJ$6*100000*AJ$3</f>
        <v>13964.530093562353</v>
      </c>
      <c r="AK55" s="336">
        <f>(Data!BE51+Data!DR51)/AK$6*100000*AK$3</f>
        <v>20136.619216530617</v>
      </c>
      <c r="AL55" s="338" t="s">
        <v>353</v>
      </c>
      <c r="AM55" s="336">
        <f t="shared" si="5"/>
        <v>82455.515390051049</v>
      </c>
      <c r="AN55" s="336">
        <f>(Data!AN51+Data!DA51)/AN$6*100000*AN$3</f>
        <v>7947.8620251152443</v>
      </c>
      <c r="AO55" s="336">
        <f>(Data!AO51+Data!DB51)/AO$6*100000*AO$3</f>
        <v>0</v>
      </c>
      <c r="AP55" s="336">
        <f>(Data!AP51+Data!DC51)/AP$6*100000*AP$3</f>
        <v>0</v>
      </c>
      <c r="AQ55" s="336">
        <f>(Data!AQ51+Data!DD51)/AQ$6*100000*AQ$3</f>
        <v>0</v>
      </c>
      <c r="AR55" s="336">
        <f>(Data!AR51+Data!DE51)/AR$6*100000*AR$3</f>
        <v>3969.9277969381933</v>
      </c>
      <c r="AS55" s="336">
        <f>(Data!AS51+Data!DF51)/AS$6*100000*AS$3</f>
        <v>0</v>
      </c>
      <c r="AT55" s="336">
        <f>(Data!AT51+Data!DG51)/AT$6*100000*AT$3</f>
        <v>0</v>
      </c>
      <c r="AU55" s="336">
        <f>(Data!AU51+Data!DH51)/AU$6*100000*AU$3</f>
        <v>0</v>
      </c>
      <c r="AV55" s="336">
        <f>(Data!AV51+Data!DI51)/AV$6*100000*AV$3</f>
        <v>0</v>
      </c>
      <c r="AW55" s="336">
        <f>(Data!AW51+Data!DJ51)/AW$6*100000*AW$3</f>
        <v>0</v>
      </c>
      <c r="AX55" s="336">
        <f>(Data!AX51+Data!DK51)/AX$6*100000*AX$3</f>
        <v>4440.655085438204</v>
      </c>
      <c r="AY55" s="336">
        <f>(Data!AY51+Data!DL51)/AY$6*100000*AY$3</f>
        <v>3751.6589366860658</v>
      </c>
      <c r="AZ55" s="336">
        <f>(Data!AZ51+Data!DM51)/AZ$6*100000*AZ$3</f>
        <v>9376.5200218004102</v>
      </c>
      <c r="BA55" s="336">
        <f>(Data!BA51+Data!DN51)/BA$6*100000*BA$3</f>
        <v>6195.8295183086757</v>
      </c>
      <c r="BB55" s="336">
        <f>(Data!BB51+Data!DO51)/BB$6*100000*BB$3</f>
        <v>19767.203168834723</v>
      </c>
      <c r="BC55" s="336">
        <f>(Data!BC51+Data!DP51)/BC$6*100000*BC$3</f>
        <v>9955.284181883042</v>
      </c>
      <c r="BD55" s="336">
        <f>(Data!BD51+Data!DQ51)/BD$6*100000*BD$3</f>
        <v>6982.2650467811764</v>
      </c>
      <c r="BE55" s="336">
        <f>(Data!BE51+Data!DR51)/BE$6*100000*BE$3</f>
        <v>10068.309608265308</v>
      </c>
    </row>
    <row r="56" spans="1:69">
      <c r="A56" s="30"/>
      <c r="B56" s="30"/>
      <c r="C56" s="30"/>
      <c r="D56" s="30"/>
      <c r="E56" s="30"/>
      <c r="F56" s="30"/>
      <c r="G56" s="30"/>
      <c r="H56" s="58"/>
      <c r="I56" s="58"/>
      <c r="J56" s="58"/>
      <c r="K56" s="58"/>
      <c r="L56" s="58"/>
      <c r="M56" s="58"/>
      <c r="N56" s="58"/>
      <c r="O56" s="58"/>
      <c r="P56" s="58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</row>
    <row r="57" spans="1:69">
      <c r="A57" s="30"/>
      <c r="B57" s="30"/>
      <c r="C57" s="30"/>
      <c r="D57" s="30"/>
      <c r="E57" s="30"/>
      <c r="F57" s="30"/>
      <c r="G57" s="30"/>
      <c r="H57" s="58"/>
      <c r="I57" s="58"/>
      <c r="J57" s="58"/>
      <c r="K57" s="58"/>
      <c r="L57" s="58"/>
      <c r="M57" s="58"/>
      <c r="N57" s="58"/>
      <c r="O57" s="58"/>
      <c r="P57" s="58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</row>
    <row r="58" spans="1:69">
      <c r="R58" s="334" t="s">
        <v>408</v>
      </c>
      <c r="S58" s="336">
        <f>SUM(T58:AK58)</f>
        <v>100000</v>
      </c>
      <c r="T58" s="337">
        <v>8000</v>
      </c>
      <c r="U58" s="337">
        <v>7000</v>
      </c>
      <c r="V58" s="337">
        <v>7000</v>
      </c>
      <c r="W58" s="337">
        <v>7000</v>
      </c>
      <c r="X58" s="337">
        <v>7000</v>
      </c>
      <c r="Y58" s="337">
        <v>7000</v>
      </c>
      <c r="Z58" s="337">
        <v>7000</v>
      </c>
      <c r="AA58" s="337">
        <v>7000</v>
      </c>
      <c r="AB58" s="337">
        <v>7000</v>
      </c>
      <c r="AC58" s="337">
        <v>7000</v>
      </c>
      <c r="AD58" s="337">
        <v>7000</v>
      </c>
      <c r="AE58" s="337">
        <v>6000</v>
      </c>
      <c r="AF58" s="337">
        <v>5000</v>
      </c>
      <c r="AG58" s="337">
        <v>4000</v>
      </c>
      <c r="AH58" s="337">
        <v>3000</v>
      </c>
      <c r="AI58" s="337">
        <v>2000</v>
      </c>
      <c r="AJ58" s="337">
        <v>1000</v>
      </c>
      <c r="AK58" s="337">
        <v>1000</v>
      </c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</row>
    <row r="59" spans="1:69">
      <c r="R59" s="334" t="s">
        <v>409</v>
      </c>
      <c r="S59" s="334">
        <v>100000</v>
      </c>
      <c r="T59" s="334">
        <v>12000</v>
      </c>
      <c r="U59" s="334">
        <v>10000</v>
      </c>
      <c r="V59" s="334">
        <v>9000</v>
      </c>
      <c r="W59" s="334">
        <v>9000</v>
      </c>
      <c r="X59" s="334">
        <v>8000</v>
      </c>
      <c r="Y59" s="334">
        <v>8000</v>
      </c>
      <c r="Z59" s="334">
        <v>6000</v>
      </c>
      <c r="AA59" s="334">
        <v>6000</v>
      </c>
      <c r="AB59" s="334">
        <v>6000</v>
      </c>
      <c r="AC59" s="334">
        <v>6000</v>
      </c>
      <c r="AD59" s="334">
        <v>5000</v>
      </c>
      <c r="AE59" s="334">
        <v>4000</v>
      </c>
      <c r="AF59" s="334">
        <v>4000</v>
      </c>
      <c r="AG59" s="334">
        <v>3000</v>
      </c>
      <c r="AH59" s="334">
        <v>2000</v>
      </c>
      <c r="AI59" s="334">
        <v>1000</v>
      </c>
      <c r="AJ59" s="334">
        <v>500</v>
      </c>
      <c r="AK59" s="334">
        <v>500</v>
      </c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</row>
    <row r="60" spans="1:69">
      <c r="R60" s="334"/>
      <c r="S60" s="334"/>
      <c r="T60" s="334"/>
      <c r="U60" s="334"/>
      <c r="V60" s="334"/>
      <c r="W60" s="334"/>
      <c r="X60" s="334"/>
      <c r="Y60" s="334"/>
      <c r="Z60" s="334"/>
      <c r="AA60" s="334"/>
      <c r="AB60" s="334"/>
      <c r="AC60" s="334"/>
      <c r="AD60" s="334"/>
      <c r="AE60" s="334"/>
      <c r="AF60" s="334"/>
      <c r="AG60" s="334"/>
      <c r="AH60" s="334"/>
      <c r="AI60" s="334"/>
      <c r="AJ60" s="334"/>
      <c r="AK60" s="334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</row>
    <row r="61" spans="1:69"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</row>
    <row r="62" spans="1:69"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</row>
    <row r="63" spans="1:69"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</row>
    <row r="64" spans="1:69"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</row>
    <row r="65" spans="18:57"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</row>
    <row r="66" spans="18:57"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</row>
    <row r="67" spans="18:57"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</row>
    <row r="68" spans="18:57"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</row>
    <row r="69" spans="18:57"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</row>
    <row r="70" spans="18:57"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</row>
    <row r="71" spans="18:57"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</row>
    <row r="72" spans="18:57"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</row>
    <row r="73" spans="18:57"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</row>
    <row r="74" spans="18:57"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</row>
    <row r="75" spans="18:57"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</row>
    <row r="76" spans="18:57"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</row>
    <row r="77" spans="18:57"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</row>
    <row r="78" spans="18:57"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</row>
    <row r="79" spans="18:57"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</row>
    <row r="80" spans="18:57"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</row>
    <row r="81" spans="18:57"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</row>
    <row r="82" spans="18:57"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</row>
    <row r="83" spans="18:57"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</row>
    <row r="84" spans="18:57"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</row>
    <row r="85" spans="18:57"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</row>
    <row r="86" spans="18:57"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</row>
    <row r="87" spans="18:57"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</row>
    <row r="88" spans="18:57"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</row>
    <row r="89" spans="18:57"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</row>
    <row r="90" spans="18:57"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</row>
    <row r="91" spans="18:57"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</row>
    <row r="92" spans="18:57"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</row>
    <row r="93" spans="18:57"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</row>
    <row r="94" spans="18:57"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</row>
    <row r="95" spans="18:57"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</row>
    <row r="96" spans="18:57"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</row>
    <row r="97" spans="18:57"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</row>
    <row r="98" spans="18:57"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</row>
    <row r="99" spans="18:57"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</row>
    <row r="100" spans="18:57"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</row>
    <row r="101" spans="18:57"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</row>
    <row r="102" spans="18:57"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</row>
    <row r="103" spans="18:57"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</row>
    <row r="104" spans="18:57"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</row>
    <row r="105" spans="18:57"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</row>
    <row r="106" spans="18:57"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</row>
    <row r="107" spans="18:57"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</row>
    <row r="108" spans="18:57"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</row>
    <row r="109" spans="18:57"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</row>
    <row r="110" spans="18:57"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</row>
    <row r="111" spans="18:57"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</row>
    <row r="112" spans="18:57"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</row>
    <row r="113" spans="18:57"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</row>
    <row r="114" spans="18:57"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</row>
    <row r="115" spans="18:57"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</row>
    <row r="116" spans="18:57"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</row>
    <row r="117" spans="18:57"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</row>
    <row r="118" spans="18:57"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</row>
    <row r="119" spans="18:57"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</row>
    <row r="120" spans="18:57"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</row>
    <row r="121" spans="18:57"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</row>
    <row r="122" spans="18:57"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</row>
    <row r="123" spans="18:57"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</row>
    <row r="124" spans="18:57"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</row>
    <row r="125" spans="18:57"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</row>
    <row r="126" spans="18:57"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</row>
    <row r="127" spans="18:57"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</row>
    <row r="128" spans="18:57"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</row>
    <row r="129" spans="18:57"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</row>
    <row r="130" spans="18:57"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</row>
    <row r="131" spans="18:57"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</row>
    <row r="132" spans="18:57"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</row>
    <row r="133" spans="18:57"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</row>
    <row r="134" spans="18:57"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</row>
    <row r="135" spans="18:57"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</row>
    <row r="136" spans="18:57"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</row>
    <row r="137" spans="18:57"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</row>
    <row r="138" spans="18:57"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</row>
    <row r="139" spans="18:57"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</row>
    <row r="140" spans="18:57"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</row>
    <row r="141" spans="18:57"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</row>
    <row r="142" spans="18:57"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</row>
    <row r="143" spans="18:57"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</row>
    <row r="144" spans="18:57"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</row>
    <row r="145" spans="18:57"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</row>
  </sheetData>
  <mergeCells count="10">
    <mergeCell ref="B1:D1"/>
    <mergeCell ref="R1:R2"/>
    <mergeCell ref="T2:V2"/>
    <mergeCell ref="AN2:AP2"/>
    <mergeCell ref="B6:B7"/>
    <mergeCell ref="C6:C7"/>
    <mergeCell ref="D6:D7"/>
    <mergeCell ref="E6:E7"/>
    <mergeCell ref="F6:G6"/>
    <mergeCell ref="AL1:AL2"/>
  </mergeCells>
  <pageMargins left="0.59055118110236215" right="0.62992125984251968" top="1.5748031496062993" bottom="1.9685039370078741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9" tint="0.39997558519241921"/>
  </sheetPr>
  <dimension ref="A1:BE51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style="62" customWidth="1"/>
    <col min="9" max="15" width="0.85546875" style="76" customWidth="1"/>
    <col min="16" max="16" width="0.85546875" style="62" customWidth="1"/>
    <col min="17" max="17" width="9.42578125" style="62" customWidth="1"/>
    <col min="18" max="18" width="38.42578125" bestFit="1" customWidth="1"/>
    <col min="19" max="19" width="9" bestFit="1" customWidth="1"/>
    <col min="20" max="20" width="7" bestFit="1" customWidth="1"/>
    <col min="21" max="21" width="6" bestFit="1" customWidth="1"/>
    <col min="22" max="24" width="7" bestFit="1" customWidth="1"/>
    <col min="25" max="25" width="7.5703125" bestFit="1" customWidth="1"/>
    <col min="26" max="28" width="7" bestFit="1" customWidth="1"/>
    <col min="29" max="31" width="8" bestFit="1" customWidth="1"/>
    <col min="32" max="34" width="9" bestFit="1" customWidth="1"/>
    <col min="35" max="37" width="8" bestFit="1" customWidth="1"/>
    <col min="38" max="38" width="38.42578125" bestFit="1" customWidth="1"/>
  </cols>
  <sheetData>
    <row r="1" spans="1:57" ht="15">
      <c r="A1" s="30"/>
      <c r="B1" s="518" t="s">
        <v>402</v>
      </c>
      <c r="C1" s="518"/>
      <c r="D1" s="518"/>
      <c r="E1" s="61"/>
      <c r="F1" s="30"/>
      <c r="G1" s="30"/>
      <c r="H1" s="58"/>
      <c r="I1" s="58"/>
      <c r="J1" s="58"/>
      <c r="K1" s="58"/>
      <c r="L1" s="58"/>
      <c r="M1" s="58"/>
      <c r="N1" s="58"/>
      <c r="O1" s="58"/>
      <c r="P1" s="58"/>
      <c r="Q1" s="317"/>
      <c r="R1" s="547" t="s">
        <v>356</v>
      </c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  <c r="BB1" s="318"/>
      <c r="BC1" s="318"/>
      <c r="BD1" s="318"/>
      <c r="BE1" s="318"/>
    </row>
    <row r="2" spans="1:57" ht="12.6" customHeight="1">
      <c r="A2" s="30"/>
      <c r="B2" s="452" t="str">
        <f>"Mirtingumas nuo piktybinių navikų Lietuvoje  " &amp; GrafikaiSerg!A1 &amp; " metais. Vyrai."</f>
        <v>Mirtingumas nuo piktybinių navikų Lietuvoje  2015 metais. Vyrai.</v>
      </c>
      <c r="C2" s="452"/>
      <c r="D2" s="452"/>
      <c r="E2" s="63"/>
      <c r="F2" s="30"/>
      <c r="G2" s="30"/>
      <c r="H2" s="58"/>
      <c r="I2" s="58"/>
      <c r="J2" s="58"/>
      <c r="K2" s="58"/>
      <c r="L2" s="58"/>
      <c r="M2" s="58"/>
      <c r="N2" s="58"/>
      <c r="O2" s="58"/>
      <c r="P2" s="58"/>
      <c r="Q2" s="317"/>
      <c r="R2" s="547"/>
      <c r="S2" s="319" t="s">
        <v>354</v>
      </c>
      <c r="T2" s="548" t="s">
        <v>358</v>
      </c>
      <c r="U2" s="548"/>
      <c r="V2" s="548"/>
      <c r="W2" s="321">
        <f>GrafikaiSerg!A1</f>
        <v>2015</v>
      </c>
      <c r="X2" s="318" t="s">
        <v>357</v>
      </c>
      <c r="Y2" s="318" t="str">
        <f>CONCATENATE("pop",RIGHT(W2,2),"m")</f>
        <v>pop15m</v>
      </c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22" t="s">
        <v>356</v>
      </c>
      <c r="AM2" s="319" t="s">
        <v>354</v>
      </c>
      <c r="AN2" s="548" t="s">
        <v>358</v>
      </c>
      <c r="AO2" s="548"/>
      <c r="AP2" s="548"/>
      <c r="AQ2" s="321" t="e">
        <f>#REF!</f>
        <v>#REF!</v>
      </c>
      <c r="AR2" s="318" t="s">
        <v>357</v>
      </c>
      <c r="AS2" s="318" t="e">
        <f>CONCATENATE("pop",RIGHT(AQ2,2),"m")</f>
        <v>#REF!</v>
      </c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</row>
    <row r="3" spans="1:57" ht="12.6" customHeight="1">
      <c r="A3" s="30"/>
      <c r="B3" s="63" t="s">
        <v>620</v>
      </c>
      <c r="C3" s="30"/>
      <c r="D3" s="30"/>
      <c r="E3" s="30"/>
      <c r="F3" s="57"/>
      <c r="G3" s="57"/>
      <c r="H3" s="58"/>
      <c r="I3" s="58"/>
      <c r="J3" s="58"/>
      <c r="K3" s="58"/>
      <c r="L3" s="58"/>
      <c r="M3" s="58"/>
      <c r="N3" s="58"/>
      <c r="O3" s="58"/>
      <c r="P3" s="58"/>
      <c r="Q3" s="323"/>
      <c r="R3" s="324" t="s">
        <v>408</v>
      </c>
      <c r="S3" s="325">
        <f>SUM(T3:AK3)</f>
        <v>100000</v>
      </c>
      <c r="T3" s="326">
        <v>8000</v>
      </c>
      <c r="U3" s="326">
        <v>7000</v>
      </c>
      <c r="V3" s="326">
        <v>7000</v>
      </c>
      <c r="W3" s="326">
        <v>7000</v>
      </c>
      <c r="X3" s="326">
        <v>7000</v>
      </c>
      <c r="Y3" s="326">
        <v>7000</v>
      </c>
      <c r="Z3" s="326">
        <v>7000</v>
      </c>
      <c r="AA3" s="326">
        <v>7000</v>
      </c>
      <c r="AB3" s="326">
        <v>7000</v>
      </c>
      <c r="AC3" s="326">
        <v>7000</v>
      </c>
      <c r="AD3" s="326">
        <v>7000</v>
      </c>
      <c r="AE3" s="326">
        <v>6000</v>
      </c>
      <c r="AF3" s="326">
        <v>5000</v>
      </c>
      <c r="AG3" s="326">
        <v>4000</v>
      </c>
      <c r="AH3" s="326">
        <v>3000</v>
      </c>
      <c r="AI3" s="326">
        <v>2000</v>
      </c>
      <c r="AJ3" s="326">
        <v>1000</v>
      </c>
      <c r="AK3" s="326">
        <v>1000</v>
      </c>
      <c r="AL3" s="324" t="s">
        <v>409</v>
      </c>
      <c r="AM3" s="325">
        <f>SUM(AN3:BE3)</f>
        <v>100000</v>
      </c>
      <c r="AN3" s="318">
        <v>12000</v>
      </c>
      <c r="AO3" s="318">
        <v>10000</v>
      </c>
      <c r="AP3" s="318">
        <v>9000</v>
      </c>
      <c r="AQ3" s="318">
        <v>9000</v>
      </c>
      <c r="AR3" s="318">
        <v>8000</v>
      </c>
      <c r="AS3" s="318">
        <v>8000</v>
      </c>
      <c r="AT3" s="318">
        <v>6000</v>
      </c>
      <c r="AU3" s="318">
        <v>6000</v>
      </c>
      <c r="AV3" s="318">
        <v>6000</v>
      </c>
      <c r="AW3" s="318">
        <v>6000</v>
      </c>
      <c r="AX3" s="318">
        <v>5000</v>
      </c>
      <c r="AY3" s="318">
        <v>4000</v>
      </c>
      <c r="AZ3" s="318">
        <v>4000</v>
      </c>
      <c r="BA3" s="318">
        <v>3000</v>
      </c>
      <c r="BB3" s="318">
        <v>2000</v>
      </c>
      <c r="BC3" s="318">
        <v>1000</v>
      </c>
      <c r="BD3" s="318">
        <v>500</v>
      </c>
      <c r="BE3" s="318">
        <v>500</v>
      </c>
    </row>
    <row r="4" spans="1:57" ht="12.95" customHeight="1">
      <c r="A4" s="30"/>
      <c r="B4" s="549" t="s">
        <v>351</v>
      </c>
      <c r="C4" s="549" t="s">
        <v>244</v>
      </c>
      <c r="D4" s="551" t="s">
        <v>268</v>
      </c>
      <c r="E4" s="553" t="s">
        <v>355</v>
      </c>
      <c r="F4" s="531" t="s">
        <v>359</v>
      </c>
      <c r="G4" s="531"/>
      <c r="H4" s="58"/>
      <c r="I4" s="58"/>
      <c r="J4" s="58"/>
      <c r="K4" s="58"/>
      <c r="L4" s="58"/>
      <c r="M4" s="58"/>
      <c r="N4" s="58"/>
      <c r="O4" s="58"/>
      <c r="P4" s="58"/>
      <c r="Q4" s="327"/>
      <c r="R4" s="318" t="s">
        <v>416</v>
      </c>
      <c r="S4" s="325">
        <f>SUM(T4:AK4)</f>
        <v>1337932</v>
      </c>
      <c r="T4" s="328">
        <f>HLOOKUP($Y$2,Populiacija!$B$1:$BB$20,2,FALSE)</f>
        <v>77411</v>
      </c>
      <c r="U4" s="328">
        <f>HLOOKUP($Y$2,Populiacija!$B$1:$BB$20,3,FALSE)</f>
        <v>71269</v>
      </c>
      <c r="V4" s="328">
        <f>HLOOKUP($Y$2,Populiacija!$B$1:$BB$20,4,FALSE)</f>
        <v>68846</v>
      </c>
      <c r="W4" s="328">
        <f>HLOOKUP($Y$2,Populiacija!$B$1:$BB$20,5,FALSE)</f>
        <v>85448</v>
      </c>
      <c r="X4" s="328">
        <f>HLOOKUP($Y$2,Populiacija!$B$1:$BB$20,6,FALSE)</f>
        <v>103455</v>
      </c>
      <c r="Y4" s="328">
        <f>HLOOKUP($Y$2,Populiacija!$B$1:$BB$20,7,FALSE)</f>
        <v>100471</v>
      </c>
      <c r="Z4" s="328">
        <f>HLOOKUP($Y$2,Populiacija!$B$1:$BB$20,8,FALSE)</f>
        <v>90329</v>
      </c>
      <c r="AA4" s="328">
        <f>HLOOKUP($Y$2,Populiacija!$B$1:$BB$20,9,FALSE)</f>
        <v>87159</v>
      </c>
      <c r="AB4" s="328">
        <f>HLOOKUP($Y$2,Populiacija!$B$1:$BB$20,10,FALSE)</f>
        <v>95371</v>
      </c>
      <c r="AC4" s="328">
        <f>HLOOKUP($Y$2,Populiacija!$B$1:$BB$20,11,FALSE)</f>
        <v>98989</v>
      </c>
      <c r="AD4" s="328">
        <f>HLOOKUP($Y$2,Populiacija!$B$1:$BB$20,12,FALSE)</f>
        <v>105736</v>
      </c>
      <c r="AE4" s="328">
        <f>HLOOKUP($Y$2,Populiacija!$B$1:$BB$20,13,FALSE)</f>
        <v>96361</v>
      </c>
      <c r="AF4" s="328">
        <f>HLOOKUP($Y$2,Populiacija!$B$1:$BB$20,14,FALSE)</f>
        <v>72856</v>
      </c>
      <c r="AG4" s="328">
        <f>HLOOKUP($Y$2,Populiacija!$B$1:$BB$20,15,FALSE)</f>
        <v>57241</v>
      </c>
      <c r="AH4" s="328">
        <f>HLOOKUP($Y$2,Populiacija!$B$1:$BB$20,16,FALSE)</f>
        <v>47318</v>
      </c>
      <c r="AI4" s="328">
        <f>HLOOKUP($Y$2,Populiacija!$B$1:$BB$20,17,FALSE)</f>
        <v>39525</v>
      </c>
      <c r="AJ4" s="328">
        <f>HLOOKUP($Y$2,Populiacija!$B$1:$BB$20,18,FALSE)</f>
        <v>24886</v>
      </c>
      <c r="AK4" s="328">
        <f>HLOOKUP($Y$2,Populiacija!$B$1:$BB$20,19,FALSE)</f>
        <v>15261</v>
      </c>
      <c r="AL4" s="318" t="s">
        <v>416</v>
      </c>
      <c r="AM4" s="325">
        <f>SUM(AN4:BE4)</f>
        <v>1337932</v>
      </c>
      <c r="AN4" s="328">
        <f>HLOOKUP($Y$2,Populiacija!$B$1:$BB$20,2,FALSE)</f>
        <v>77411</v>
      </c>
      <c r="AO4" s="328">
        <f>HLOOKUP($Y$2,Populiacija!$B$1:$BB$20,3,FALSE)</f>
        <v>71269</v>
      </c>
      <c r="AP4" s="328">
        <f>HLOOKUP($Y$2,Populiacija!$B$1:$BB$20,4,FALSE)</f>
        <v>68846</v>
      </c>
      <c r="AQ4" s="328">
        <f>HLOOKUP($Y$2,Populiacija!$B$1:$BB$20,5,FALSE)</f>
        <v>85448</v>
      </c>
      <c r="AR4" s="328">
        <f>HLOOKUP($Y$2,Populiacija!$B$1:$BB$20,6,FALSE)</f>
        <v>103455</v>
      </c>
      <c r="AS4" s="328">
        <f>HLOOKUP($Y$2,Populiacija!$B$1:$BB$20,7,FALSE)</f>
        <v>100471</v>
      </c>
      <c r="AT4" s="328">
        <f>HLOOKUP($Y$2,Populiacija!$B$1:$BB$20,8,FALSE)</f>
        <v>90329</v>
      </c>
      <c r="AU4" s="328">
        <f>HLOOKUP($Y$2,Populiacija!$B$1:$BB$20,9,FALSE)</f>
        <v>87159</v>
      </c>
      <c r="AV4" s="328">
        <f>HLOOKUP($Y$2,Populiacija!$B$1:$BB$20,10,FALSE)</f>
        <v>95371</v>
      </c>
      <c r="AW4" s="328">
        <f>HLOOKUP($Y$2,Populiacija!$B$1:$BB$20,11,FALSE)</f>
        <v>98989</v>
      </c>
      <c r="AX4" s="328">
        <f>HLOOKUP($Y$2,Populiacija!$B$1:$BB$20,12,FALSE)</f>
        <v>105736</v>
      </c>
      <c r="AY4" s="328">
        <f>HLOOKUP($Y$2,Populiacija!$B$1:$BB$20,13,FALSE)</f>
        <v>96361</v>
      </c>
      <c r="AZ4" s="328">
        <f>HLOOKUP($Y$2,Populiacija!$B$1:$BB$20,14,FALSE)</f>
        <v>72856</v>
      </c>
      <c r="BA4" s="328">
        <f>HLOOKUP($Y$2,Populiacija!$B$1:$BB$20,15,FALSE)</f>
        <v>57241</v>
      </c>
      <c r="BB4" s="328">
        <f>HLOOKUP($Y$2,Populiacija!$B$1:$BB$20,16,FALSE)</f>
        <v>47318</v>
      </c>
      <c r="BC4" s="328">
        <f>HLOOKUP($Y$2,Populiacija!$B$1:$BB$20,17,FALSE)</f>
        <v>39525</v>
      </c>
      <c r="BD4" s="328">
        <f>HLOOKUP($Y$2,Populiacija!$B$1:$BB$20,18,FALSE)</f>
        <v>24886</v>
      </c>
      <c r="BE4" s="328">
        <f>HLOOKUP($Y$2,Populiacija!$B$1:$BB$20,19,FALSE)</f>
        <v>15261</v>
      </c>
    </row>
    <row r="5" spans="1:57" ht="12.95" customHeight="1" thickBot="1">
      <c r="A5" s="30"/>
      <c r="B5" s="550"/>
      <c r="C5" s="550"/>
      <c r="D5" s="552"/>
      <c r="E5" s="554"/>
      <c r="F5" s="144" t="s">
        <v>425</v>
      </c>
      <c r="G5" s="144" t="s">
        <v>426</v>
      </c>
      <c r="H5" s="59"/>
      <c r="I5" s="59"/>
      <c r="J5" s="59"/>
      <c r="K5" s="59"/>
      <c r="L5" s="59"/>
      <c r="M5" s="59"/>
      <c r="N5" s="59"/>
      <c r="O5" s="59"/>
      <c r="P5" s="60"/>
      <c r="Q5" s="329"/>
      <c r="R5" s="318" t="s">
        <v>352</v>
      </c>
      <c r="S5" s="319"/>
      <c r="T5" s="330" t="s">
        <v>13</v>
      </c>
      <c r="U5" s="331" t="s">
        <v>11</v>
      </c>
      <c r="V5" s="331" t="s">
        <v>12</v>
      </c>
      <c r="W5" s="330" t="s">
        <v>14</v>
      </c>
      <c r="X5" s="330" t="s">
        <v>15</v>
      </c>
      <c r="Y5" s="330" t="s">
        <v>16</v>
      </c>
      <c r="Z5" s="330" t="s">
        <v>158</v>
      </c>
      <c r="AA5" s="330" t="s">
        <v>17</v>
      </c>
      <c r="AB5" s="330" t="s">
        <v>18</v>
      </c>
      <c r="AC5" s="330" t="s">
        <v>19</v>
      </c>
      <c r="AD5" s="330" t="s">
        <v>20</v>
      </c>
      <c r="AE5" s="330" t="s">
        <v>21</v>
      </c>
      <c r="AF5" s="330" t="s">
        <v>159</v>
      </c>
      <c r="AG5" s="330" t="s">
        <v>160</v>
      </c>
      <c r="AH5" s="330" t="s">
        <v>161</v>
      </c>
      <c r="AI5" s="330" t="s">
        <v>162</v>
      </c>
      <c r="AJ5" s="330" t="s">
        <v>22</v>
      </c>
      <c r="AK5" s="330" t="s">
        <v>23</v>
      </c>
      <c r="AL5" s="318" t="s">
        <v>352</v>
      </c>
      <c r="AM5" s="319"/>
      <c r="AN5" s="330" t="s">
        <v>13</v>
      </c>
      <c r="AO5" s="331" t="s">
        <v>11</v>
      </c>
      <c r="AP5" s="331" t="s">
        <v>12</v>
      </c>
      <c r="AQ5" s="330" t="s">
        <v>14</v>
      </c>
      <c r="AR5" s="330" t="s">
        <v>15</v>
      </c>
      <c r="AS5" s="330" t="s">
        <v>16</v>
      </c>
      <c r="AT5" s="330" t="s">
        <v>158</v>
      </c>
      <c r="AU5" s="330" t="s">
        <v>17</v>
      </c>
      <c r="AV5" s="330" t="s">
        <v>18</v>
      </c>
      <c r="AW5" s="330" t="s">
        <v>19</v>
      </c>
      <c r="AX5" s="330" t="s">
        <v>20</v>
      </c>
      <c r="AY5" s="330" t="s">
        <v>21</v>
      </c>
      <c r="AZ5" s="330" t="s">
        <v>159</v>
      </c>
      <c r="BA5" s="330" t="s">
        <v>160</v>
      </c>
      <c r="BB5" s="330" t="s">
        <v>161</v>
      </c>
      <c r="BC5" s="330" t="s">
        <v>162</v>
      </c>
      <c r="BD5" s="330" t="s">
        <v>22</v>
      </c>
      <c r="BE5" s="330" t="s">
        <v>23</v>
      </c>
    </row>
    <row r="6" spans="1:57" ht="12" customHeight="1" thickTop="1">
      <c r="A6" s="30"/>
      <c r="B6" s="150" t="str">
        <f>UPPER(LEFT(TRIM(Data!B5),1)) &amp; MID(TRIM(Data!B5),2,50)</f>
        <v>Piktybiniai navikai</v>
      </c>
      <c r="C6" s="129" t="str">
        <f>Data!C5</f>
        <v>C00-C96</v>
      </c>
      <c r="D6" s="142">
        <f>Data!E5</f>
        <v>4645</v>
      </c>
      <c r="E6" s="131">
        <f t="shared" ref="E6:E7" si="0">D6/$S$4*100000</f>
        <v>347.17758451102145</v>
      </c>
      <c r="F6" s="132">
        <f t="shared" ref="F6:F7" si="1">S6/$S$3</f>
        <v>282.50871748516619</v>
      </c>
      <c r="G6" s="133">
        <f>AM6/$AM$3</f>
        <v>187.75511623969342</v>
      </c>
      <c r="H6" s="59"/>
      <c r="I6" s="59"/>
      <c r="J6" s="59"/>
      <c r="K6" s="59"/>
      <c r="L6" s="59"/>
      <c r="M6" s="59"/>
      <c r="N6" s="59"/>
      <c r="O6" s="59"/>
      <c r="P6" s="60"/>
      <c r="Q6" s="332"/>
      <c r="R6" s="333" t="s">
        <v>353</v>
      </c>
      <c r="S6" s="325">
        <f t="shared" ref="S6:S47" si="2">SUM(T6:AK6)</f>
        <v>28250871.748516619</v>
      </c>
      <c r="T6" s="325">
        <f>Data!AN5/T$4*100000*T$3</f>
        <v>51672.242962886412</v>
      </c>
      <c r="U6" s="325">
        <f>Data!AO5/U$4*100000*U$3</f>
        <v>0</v>
      </c>
      <c r="V6" s="325">
        <f>Data!AP5/V$4*100000*V$3</f>
        <v>30502.86145890829</v>
      </c>
      <c r="W6" s="325">
        <f>Data!AQ5/W$4*100000*W$3</f>
        <v>16384.233685984458</v>
      </c>
      <c r="X6" s="325">
        <f>Data!AR5/X$4*100000*X$3</f>
        <v>33831.134309603207</v>
      </c>
      <c r="Y6" s="325">
        <f>Data!AS5/Y$4*100000*Y$3</f>
        <v>41803.107364314084</v>
      </c>
      <c r="Z6" s="325">
        <f>Data!AT5/Z$4*100000*Z$3</f>
        <v>100742.84006243842</v>
      </c>
      <c r="AA6" s="325">
        <f>Data!AU5/AA$4*100000*AA$3</f>
        <v>216845.0762399752</v>
      </c>
      <c r="AB6" s="325">
        <f>Data!AV5/AB$4*100000*AB$3</f>
        <v>440385.44211552781</v>
      </c>
      <c r="AC6" s="325">
        <f>Data!AW5/AC$4*100000*AC$3</f>
        <v>714220.77200497023</v>
      </c>
      <c r="AD6" s="325">
        <f>Data!AX5/AD$4*100000*AD$3</f>
        <v>1919875.9173791332</v>
      </c>
      <c r="AE6" s="325">
        <f>Data!AY5/AE$4*100000*AE$3</f>
        <v>2752150.7663888917</v>
      </c>
      <c r="AF6" s="325">
        <f>Data!AZ5/AF$4*100000*AF$3</f>
        <v>3918688.9206105196</v>
      </c>
      <c r="AG6" s="325">
        <f>Data!BA5/AG$4*100000*AG$3</f>
        <v>4709910.7283241041</v>
      </c>
      <c r="AH6" s="325">
        <f>Data!BB5/AH$4*100000*AH$3</f>
        <v>4583879.284838751</v>
      </c>
      <c r="AI6" s="325">
        <f>Data!BC5/AI$4*100000*AI$3</f>
        <v>3764705.8823529412</v>
      </c>
      <c r="AJ6" s="325">
        <f>Data!BD5/AJ$4*100000*AJ$3</f>
        <v>2314554.3679177049</v>
      </c>
      <c r="AK6" s="325">
        <f>Data!BE5/AK$4*100000*AK$3</f>
        <v>2640718.1704999669</v>
      </c>
      <c r="AL6" s="333" t="s">
        <v>353</v>
      </c>
      <c r="AM6" s="325">
        <f t="shared" ref="AM6:AM47" si="3">SUM(AN6:BE6)</f>
        <v>18775511.623969343</v>
      </c>
      <c r="AN6" s="325">
        <f>Data!AN5/AN$4*100000*AN$3</f>
        <v>77508.364444329622</v>
      </c>
      <c r="AO6" s="325">
        <f>Data!AO5/AO$4*100000*AO$3</f>
        <v>0</v>
      </c>
      <c r="AP6" s="325">
        <f>Data!AP5/AP$4*100000*AP$3</f>
        <v>39217.964732882087</v>
      </c>
      <c r="AQ6" s="325">
        <f>Data!AQ5/AQ$4*100000*AQ$3</f>
        <v>21065.443310551447</v>
      </c>
      <c r="AR6" s="325">
        <f>Data!AR5/AR$4*100000*AR$3</f>
        <v>38664.153496689381</v>
      </c>
      <c r="AS6" s="325">
        <f>Data!AS5/AS$4*100000*AS$3</f>
        <v>47774.979844930378</v>
      </c>
      <c r="AT6" s="325">
        <f>Data!AT5/AT$4*100000*AT$3</f>
        <v>86351.005767804367</v>
      </c>
      <c r="AU6" s="325">
        <f>Data!AU5/AU$4*100000*AU$3</f>
        <v>185867.20820569302</v>
      </c>
      <c r="AV6" s="325">
        <f>Data!AV5/AV$4*100000*AV$3</f>
        <v>377473.23609902384</v>
      </c>
      <c r="AW6" s="325">
        <f>Data!AW5/AW$4*100000*AW$3</f>
        <v>612189.23314711731</v>
      </c>
      <c r="AX6" s="325">
        <f>Data!AX5/AX$4*100000*AX$3</f>
        <v>1371339.940985095</v>
      </c>
      <c r="AY6" s="325">
        <f>Data!AY5/AY$4*100000*AY$3</f>
        <v>1834767.1775925944</v>
      </c>
      <c r="AZ6" s="325">
        <f>Data!AZ5/AZ$4*100000*AZ$3</f>
        <v>3134951.1364884158</v>
      </c>
      <c r="BA6" s="325">
        <f>Data!BA5/BA$4*100000*BA$3</f>
        <v>3532433.0462430776</v>
      </c>
      <c r="BB6" s="325">
        <f>Data!BB5/BB$4*100000*BB$3</f>
        <v>3055919.5232258341</v>
      </c>
      <c r="BC6" s="325">
        <f>Data!BC5/BC$4*100000*BC$3</f>
        <v>1882352.9411764706</v>
      </c>
      <c r="BD6" s="325">
        <f>Data!BD5/BD$4*100000*BD$3</f>
        <v>1157277.1839588524</v>
      </c>
      <c r="BE6" s="325">
        <f>Data!BE5/BE$4*100000*BE$3</f>
        <v>1320359.0852499835</v>
      </c>
    </row>
    <row r="7" spans="1:57" ht="12" customHeight="1">
      <c r="A7" s="30"/>
      <c r="B7" s="145" t="str">
        <f>UPPER(LEFT(TRIM(Data!B6),1)) &amp; MID(TRIM(Data!B6),2,50)</f>
        <v>Lūpos</v>
      </c>
      <c r="C7" s="145" t="str">
        <f>Data!C6</f>
        <v>C00</v>
      </c>
      <c r="D7" s="146">
        <f>Data!E6</f>
        <v>5</v>
      </c>
      <c r="E7" s="147">
        <f t="shared" si="0"/>
        <v>0.37371107051778418</v>
      </c>
      <c r="F7" s="148">
        <f t="shared" si="1"/>
        <v>0.24735134663025735</v>
      </c>
      <c r="G7" s="148">
        <f t="shared" ref="G7:G8" si="4">AM7/$AM$3</f>
        <v>0.1448092799764415</v>
      </c>
      <c r="H7" s="59"/>
      <c r="I7" s="59"/>
      <c r="J7" s="59"/>
      <c r="K7" s="59"/>
      <c r="L7" s="59"/>
      <c r="M7" s="59"/>
      <c r="N7" s="59"/>
      <c r="O7" s="59"/>
      <c r="P7" s="60"/>
      <c r="Q7" s="332"/>
      <c r="R7" s="333" t="s">
        <v>353</v>
      </c>
      <c r="S7" s="325">
        <f t="shared" si="2"/>
        <v>24735.134663025736</v>
      </c>
      <c r="T7" s="325">
        <f>Data!AN6/T$4*100000*T$3</f>
        <v>0</v>
      </c>
      <c r="U7" s="325">
        <f>Data!AO6/U$4*100000*U$3</f>
        <v>0</v>
      </c>
      <c r="V7" s="325">
        <f>Data!AP6/V$4*100000*V$3</f>
        <v>0</v>
      </c>
      <c r="W7" s="325">
        <f>Data!AQ6/W$4*100000*W$3</f>
        <v>0</v>
      </c>
      <c r="X7" s="325">
        <f>Data!AR6/X$4*100000*X$3</f>
        <v>0</v>
      </c>
      <c r="Y7" s="325">
        <f>Data!AS6/Y$4*100000*Y$3</f>
        <v>0</v>
      </c>
      <c r="Z7" s="325">
        <f>Data!AT6/Z$4*100000*Z$3</f>
        <v>0</v>
      </c>
      <c r="AA7" s="325">
        <f>Data!AU6/AA$4*100000*AA$3</f>
        <v>0</v>
      </c>
      <c r="AB7" s="325">
        <f>Data!AV6/AB$4*100000*AB$3</f>
        <v>0</v>
      </c>
      <c r="AC7" s="325">
        <f>Data!AW6/AC$4*100000*AC$3</f>
        <v>0</v>
      </c>
      <c r="AD7" s="325">
        <f>Data!AX6/AD$4*100000*AD$3</f>
        <v>0</v>
      </c>
      <c r="AE7" s="325">
        <f>Data!AY6/AE$4*100000*AE$3</f>
        <v>0</v>
      </c>
      <c r="AF7" s="325">
        <f>Data!AZ6/AF$4*100000*AF$3</f>
        <v>0</v>
      </c>
      <c r="AG7" s="325">
        <f>Data!BA6/AG$4*100000*AG$3</f>
        <v>0</v>
      </c>
      <c r="AH7" s="325">
        <f>Data!BB6/AH$4*100000*AH$3</f>
        <v>12680.163996787691</v>
      </c>
      <c r="AI7" s="325">
        <f>Data!BC6/AI$4*100000*AI$3</f>
        <v>0</v>
      </c>
      <c r="AJ7" s="325">
        <f>Data!BD6/AJ$4*100000*AJ$3</f>
        <v>12054.970666238045</v>
      </c>
      <c r="AK7" s="325">
        <f>Data!BE6/AK$4*100000*AK$3</f>
        <v>0</v>
      </c>
      <c r="AL7" s="333" t="s">
        <v>353</v>
      </c>
      <c r="AM7" s="325">
        <f t="shared" si="3"/>
        <v>14480.92799764415</v>
      </c>
      <c r="AN7" s="325">
        <f>Data!AN6/AN$4*100000*AN$3</f>
        <v>0</v>
      </c>
      <c r="AO7" s="325">
        <f>Data!AO6/AO$4*100000*AO$3</f>
        <v>0</v>
      </c>
      <c r="AP7" s="325">
        <f>Data!AP6/AP$4*100000*AP$3</f>
        <v>0</v>
      </c>
      <c r="AQ7" s="325">
        <f>Data!AQ6/AQ$4*100000*AQ$3</f>
        <v>0</v>
      </c>
      <c r="AR7" s="325">
        <f>Data!AR6/AR$4*100000*AR$3</f>
        <v>0</v>
      </c>
      <c r="AS7" s="325">
        <f>Data!AS6/AS$4*100000*AS$3</f>
        <v>0</v>
      </c>
      <c r="AT7" s="325">
        <f>Data!AT6/AT$4*100000*AT$3</f>
        <v>0</v>
      </c>
      <c r="AU7" s="325">
        <f>Data!AU6/AU$4*100000*AU$3</f>
        <v>0</v>
      </c>
      <c r="AV7" s="325">
        <f>Data!AV6/AV$4*100000*AV$3</f>
        <v>0</v>
      </c>
      <c r="AW7" s="325">
        <f>Data!AW6/AW$4*100000*AW$3</f>
        <v>0</v>
      </c>
      <c r="AX7" s="325">
        <f>Data!AX6/AX$4*100000*AX$3</f>
        <v>0</v>
      </c>
      <c r="AY7" s="325">
        <f>Data!AY6/AY$4*100000*AY$3</f>
        <v>0</v>
      </c>
      <c r="AZ7" s="325">
        <f>Data!AZ6/AZ$4*100000*AZ$3</f>
        <v>0</v>
      </c>
      <c r="BA7" s="325">
        <f>Data!BA6/BA$4*100000*BA$3</f>
        <v>0</v>
      </c>
      <c r="BB7" s="325">
        <f>Data!BB6/BB$4*100000*BB$3</f>
        <v>8453.4426645251278</v>
      </c>
      <c r="BC7" s="325">
        <f>Data!BC6/BC$4*100000*BC$3</f>
        <v>0</v>
      </c>
      <c r="BD7" s="325">
        <f>Data!BD6/BD$4*100000*BD$3</f>
        <v>6027.4853331190225</v>
      </c>
      <c r="BE7" s="325">
        <f>Data!BE6/BE$4*100000*BE$3</f>
        <v>0</v>
      </c>
    </row>
    <row r="8" spans="1:57" ht="12" customHeight="1">
      <c r="A8" s="30"/>
      <c r="B8" s="150" t="str">
        <f>UPPER(LEFT(TRIM(Data!B7),1)) &amp; MID(TRIM(Data!B7),2,50)</f>
        <v>Burnos ertmės ir ryklės</v>
      </c>
      <c r="C8" s="129" t="str">
        <f>Data!C7</f>
        <v>C01-C14</v>
      </c>
      <c r="D8" s="142">
        <f>Data!E7</f>
        <v>231</v>
      </c>
      <c r="E8" s="131">
        <f t="shared" ref="E8:E47" si="5">D8/$S$4*100000</f>
        <v>17.265451457921628</v>
      </c>
      <c r="F8" s="132">
        <f t="shared" ref="F8:F47" si="6">S8/$S$3</f>
        <v>15.124104161172388</v>
      </c>
      <c r="G8" s="133">
        <f t="shared" si="4"/>
        <v>10.995490717091455</v>
      </c>
      <c r="H8" s="59"/>
      <c r="I8" s="59"/>
      <c r="J8" s="59"/>
      <c r="K8" s="59"/>
      <c r="L8" s="59"/>
      <c r="M8" s="59"/>
      <c r="N8" s="59"/>
      <c r="O8" s="59"/>
      <c r="P8" s="60"/>
      <c r="Q8" s="317"/>
      <c r="R8" s="333" t="s">
        <v>353</v>
      </c>
      <c r="S8" s="325">
        <f t="shared" si="2"/>
        <v>1512410.4161172388</v>
      </c>
      <c r="T8" s="325">
        <f>Data!AN7/T$4*100000*T$3</f>
        <v>0</v>
      </c>
      <c r="U8" s="325">
        <f>Data!AO7/U$4*100000*U$3</f>
        <v>0</v>
      </c>
      <c r="V8" s="325">
        <f>Data!AP7/V$4*100000*V$3</f>
        <v>0</v>
      </c>
      <c r="W8" s="325">
        <f>Data!AQ7/W$4*100000*W$3</f>
        <v>0</v>
      </c>
      <c r="X8" s="325">
        <f>Data!AR7/X$4*100000*X$3</f>
        <v>0</v>
      </c>
      <c r="Y8" s="325">
        <f>Data!AS7/Y$4*100000*Y$3</f>
        <v>0</v>
      </c>
      <c r="Z8" s="325">
        <f>Data!AT7/Z$4*100000*Z$3</f>
        <v>0</v>
      </c>
      <c r="AA8" s="325">
        <f>Data!AU7/AA$4*100000*AA$3</f>
        <v>16062.598239998164</v>
      </c>
      <c r="AB8" s="325">
        <f>Data!AV7/AB$4*100000*AB$3</f>
        <v>88077.088423105553</v>
      </c>
      <c r="AC8" s="325">
        <f>Data!AW7/AC$4*100000*AC$3</f>
        <v>113143.88467405469</v>
      </c>
      <c r="AD8" s="325">
        <f>Data!AX7/AD$4*100000*AD$3</f>
        <v>244949.6860104411</v>
      </c>
      <c r="AE8" s="325">
        <f>Data!AY7/AE$4*100000*AE$3</f>
        <v>317555.85766025668</v>
      </c>
      <c r="AF8" s="325">
        <f>Data!AZ7/AF$4*100000*AF$3</f>
        <v>295102.66827714944</v>
      </c>
      <c r="AG8" s="325">
        <f>Data!BA7/AG$4*100000*AG$3</f>
        <v>202651.94528397475</v>
      </c>
      <c r="AH8" s="325">
        <f>Data!BB7/AH$4*100000*AH$3</f>
        <v>126801.63996787691</v>
      </c>
      <c r="AI8" s="325">
        <f>Data!BC7/AI$4*100000*AI$3</f>
        <v>65781.151170145473</v>
      </c>
      <c r="AJ8" s="325">
        <f>Data!BD7/AJ$4*100000*AJ$3</f>
        <v>16073.294221650727</v>
      </c>
      <c r="AK8" s="325">
        <f>Data!BE7/AK$4*100000*AK$3</f>
        <v>26210.602188585282</v>
      </c>
      <c r="AL8" s="333" t="s">
        <v>353</v>
      </c>
      <c r="AM8" s="325">
        <f t="shared" si="3"/>
        <v>1099549.0717091456</v>
      </c>
      <c r="AN8" s="325">
        <f>Data!AN7/AN$4*100000*AN$3</f>
        <v>0</v>
      </c>
      <c r="AO8" s="325">
        <f>Data!AO7/AO$4*100000*AO$3</f>
        <v>0</v>
      </c>
      <c r="AP8" s="325">
        <f>Data!AP7/AP$4*100000*AP$3</f>
        <v>0</v>
      </c>
      <c r="AQ8" s="325">
        <f>Data!AQ7/AQ$4*100000*AQ$3</f>
        <v>0</v>
      </c>
      <c r="AR8" s="325">
        <f>Data!AR7/AR$4*100000*AR$3</f>
        <v>0</v>
      </c>
      <c r="AS8" s="325">
        <f>Data!AS7/AS$4*100000*AS$3</f>
        <v>0</v>
      </c>
      <c r="AT8" s="325">
        <f>Data!AT7/AT$4*100000*AT$3</f>
        <v>0</v>
      </c>
      <c r="AU8" s="325">
        <f>Data!AU7/AU$4*100000*AU$3</f>
        <v>13767.941348569855</v>
      </c>
      <c r="AV8" s="325">
        <f>Data!AV7/AV$4*100000*AV$3</f>
        <v>75494.64721980477</v>
      </c>
      <c r="AW8" s="325">
        <f>Data!AW7/AW$4*100000*AW$3</f>
        <v>96980.47257776116</v>
      </c>
      <c r="AX8" s="325">
        <f>Data!AX7/AX$4*100000*AX$3</f>
        <v>174964.06143602935</v>
      </c>
      <c r="AY8" s="325">
        <f>Data!AY7/AY$4*100000*AY$3</f>
        <v>211703.9051068378</v>
      </c>
      <c r="AZ8" s="325">
        <f>Data!AZ7/AZ$4*100000*AZ$3</f>
        <v>236082.13462171954</v>
      </c>
      <c r="BA8" s="325">
        <f>Data!BA7/BA$4*100000*BA$3</f>
        <v>151988.95896298107</v>
      </c>
      <c r="BB8" s="325">
        <f>Data!BB7/BB$4*100000*BB$3</f>
        <v>84534.426645251267</v>
      </c>
      <c r="BC8" s="325">
        <f>Data!BC7/BC$4*100000*BC$3</f>
        <v>32890.575585072736</v>
      </c>
      <c r="BD8" s="325">
        <f>Data!BD7/BD$4*100000*BD$3</f>
        <v>8036.6471108253636</v>
      </c>
      <c r="BE8" s="325">
        <f>Data!BE7/BE$4*100000*BE$3</f>
        <v>13105.301094292641</v>
      </c>
    </row>
    <row r="9" spans="1:57" ht="12" customHeight="1">
      <c r="A9" s="30"/>
      <c r="B9" s="145" t="str">
        <f>UPPER(LEFT(TRIM(Data!B8),1)) &amp; MID(TRIM(Data!B8),2,50)</f>
        <v>Stemplės</v>
      </c>
      <c r="C9" s="145" t="str">
        <f>Data!C8</f>
        <v>C15</v>
      </c>
      <c r="D9" s="146">
        <f>Data!E8</f>
        <v>172</v>
      </c>
      <c r="E9" s="147">
        <f t="shared" si="5"/>
        <v>12.855660825811775</v>
      </c>
      <c r="F9" s="148">
        <f t="shared" si="6"/>
        <v>10.860346247728311</v>
      </c>
      <c r="G9" s="148">
        <f t="shared" ref="G9:G47" si="7">AM9/$AM$3</f>
        <v>7.6475728754663761</v>
      </c>
      <c r="H9" s="59"/>
      <c r="I9" s="59"/>
      <c r="J9" s="59"/>
      <c r="K9" s="59"/>
      <c r="L9" s="59"/>
      <c r="M9" s="59"/>
      <c r="N9" s="59"/>
      <c r="O9" s="59"/>
      <c r="P9" s="60"/>
      <c r="Q9" s="317"/>
      <c r="R9" s="333" t="s">
        <v>353</v>
      </c>
      <c r="S9" s="325">
        <f t="shared" si="2"/>
        <v>1086034.6247728311</v>
      </c>
      <c r="T9" s="325">
        <f>Data!AN8/T$4*100000*T$3</f>
        <v>0</v>
      </c>
      <c r="U9" s="325">
        <f>Data!AO8/U$4*100000*U$3</f>
        <v>0</v>
      </c>
      <c r="V9" s="325">
        <f>Data!AP8/V$4*100000*V$3</f>
        <v>0</v>
      </c>
      <c r="W9" s="325">
        <f>Data!AQ8/W$4*100000*W$3</f>
        <v>0</v>
      </c>
      <c r="X9" s="325">
        <f>Data!AR8/X$4*100000*X$3</f>
        <v>0</v>
      </c>
      <c r="Y9" s="325">
        <f>Data!AS8/Y$4*100000*Y$3</f>
        <v>0</v>
      </c>
      <c r="Z9" s="325">
        <f>Data!AT8/Z$4*100000*Z$3</f>
        <v>0</v>
      </c>
      <c r="AA9" s="325">
        <f>Data!AU8/AA$4*100000*AA$3</f>
        <v>0</v>
      </c>
      <c r="AB9" s="325">
        <f>Data!AV8/AB$4*100000*AB$3</f>
        <v>22019.272105776388</v>
      </c>
      <c r="AC9" s="325">
        <f>Data!AW8/AC$4*100000*AC$3</f>
        <v>56571.942337027343</v>
      </c>
      <c r="AD9" s="325">
        <f>Data!AX8/AD$4*100000*AD$3</f>
        <v>92683.664976923654</v>
      </c>
      <c r="AE9" s="325">
        <f>Data!AY8/AE$4*100000*AE$3</f>
        <v>168117.80699660652</v>
      </c>
      <c r="AF9" s="325">
        <f>Data!AZ8/AF$4*100000*AF$3</f>
        <v>205885.58251894149</v>
      </c>
      <c r="AG9" s="325">
        <f>Data!BA8/AG$4*100000*AG$3</f>
        <v>251567.93207665833</v>
      </c>
      <c r="AH9" s="325">
        <f>Data!BB8/AH$4*100000*AH$3</f>
        <v>126801.63996787691</v>
      </c>
      <c r="AI9" s="325">
        <f>Data!BC8/AI$4*100000*AI$3</f>
        <v>75901.328273244784</v>
      </c>
      <c r="AJ9" s="325">
        <f>Data!BD8/AJ$4*100000*AJ$3</f>
        <v>60274.853331190228</v>
      </c>
      <c r="AK9" s="325">
        <f>Data!BE8/AK$4*100000*AK$3</f>
        <v>26210.602188585282</v>
      </c>
      <c r="AL9" s="333" t="s">
        <v>353</v>
      </c>
      <c r="AM9" s="325">
        <f t="shared" si="3"/>
        <v>764757.28754663758</v>
      </c>
      <c r="AN9" s="325">
        <f>Data!AN8/AN$4*100000*AN$3</f>
        <v>0</v>
      </c>
      <c r="AO9" s="325">
        <f>Data!AO8/AO$4*100000*AO$3</f>
        <v>0</v>
      </c>
      <c r="AP9" s="325">
        <f>Data!AP8/AP$4*100000*AP$3</f>
        <v>0</v>
      </c>
      <c r="AQ9" s="325">
        <f>Data!AQ8/AQ$4*100000*AQ$3</f>
        <v>0</v>
      </c>
      <c r="AR9" s="325">
        <f>Data!AR8/AR$4*100000*AR$3</f>
        <v>0</v>
      </c>
      <c r="AS9" s="325">
        <f>Data!AS8/AS$4*100000*AS$3</f>
        <v>0</v>
      </c>
      <c r="AT9" s="325">
        <f>Data!AT8/AT$4*100000*AT$3</f>
        <v>0</v>
      </c>
      <c r="AU9" s="325">
        <f>Data!AU8/AU$4*100000*AU$3</f>
        <v>0</v>
      </c>
      <c r="AV9" s="325">
        <f>Data!AV8/AV$4*100000*AV$3</f>
        <v>18873.661804951193</v>
      </c>
      <c r="AW9" s="325">
        <f>Data!AW8/AW$4*100000*AW$3</f>
        <v>48490.23628888058</v>
      </c>
      <c r="AX9" s="325">
        <f>Data!AX8/AX$4*100000*AX$3</f>
        <v>66202.617840659746</v>
      </c>
      <c r="AY9" s="325">
        <f>Data!AY8/AY$4*100000*AY$3</f>
        <v>112078.53799773769</v>
      </c>
      <c r="AZ9" s="325">
        <f>Data!AZ8/AZ$4*100000*AZ$3</f>
        <v>164708.46601515319</v>
      </c>
      <c r="BA9" s="325">
        <f>Data!BA8/BA$4*100000*BA$3</f>
        <v>188675.94905749377</v>
      </c>
      <c r="BB9" s="325">
        <f>Data!BB8/BB$4*100000*BB$3</f>
        <v>84534.426645251267</v>
      </c>
      <c r="BC9" s="325">
        <f>Data!BC8/BC$4*100000*BC$3</f>
        <v>37950.664136622392</v>
      </c>
      <c r="BD9" s="325">
        <f>Data!BD8/BD$4*100000*BD$3</f>
        <v>30137.426665595114</v>
      </c>
      <c r="BE9" s="325">
        <f>Data!BE8/BE$4*100000*BE$3</f>
        <v>13105.301094292641</v>
      </c>
    </row>
    <row r="10" spans="1:57" ht="12" customHeight="1">
      <c r="A10" s="30"/>
      <c r="B10" s="150" t="str">
        <f>UPPER(LEFT(TRIM(Data!B9),1)) &amp; MID(TRIM(Data!B9),2,50)</f>
        <v>Skrandžio</v>
      </c>
      <c r="C10" s="129" t="str">
        <f>Data!C9</f>
        <v>C16</v>
      </c>
      <c r="D10" s="142">
        <f>Data!E9</f>
        <v>413</v>
      </c>
      <c r="E10" s="131">
        <f t="shared" si="5"/>
        <v>30.868534424768971</v>
      </c>
      <c r="F10" s="132">
        <f t="shared" si="6"/>
        <v>24.767130031747563</v>
      </c>
      <c r="G10" s="133">
        <f t="shared" si="7"/>
        <v>16.14397576324269</v>
      </c>
      <c r="H10" s="59"/>
      <c r="I10" s="59"/>
      <c r="J10" s="59"/>
      <c r="K10" s="59"/>
      <c r="L10" s="59"/>
      <c r="M10" s="59"/>
      <c r="N10" s="59"/>
      <c r="O10" s="59"/>
      <c r="P10" s="60"/>
      <c r="Q10" s="317"/>
      <c r="R10" s="333" t="s">
        <v>353</v>
      </c>
      <c r="S10" s="325">
        <f t="shared" si="2"/>
        <v>2476713.0031747562</v>
      </c>
      <c r="T10" s="325">
        <f>Data!AN9/T$4*100000*T$3</f>
        <v>0</v>
      </c>
      <c r="U10" s="325">
        <f>Data!AO9/U$4*100000*U$3</f>
        <v>0</v>
      </c>
      <c r="V10" s="325">
        <f>Data!AP9/V$4*100000*V$3</f>
        <v>0</v>
      </c>
      <c r="W10" s="325">
        <f>Data!AQ9/W$4*100000*W$3</f>
        <v>0</v>
      </c>
      <c r="X10" s="325">
        <f>Data!AR9/X$4*100000*X$3</f>
        <v>0</v>
      </c>
      <c r="Y10" s="325">
        <f>Data!AS9/Y$4*100000*Y$3</f>
        <v>0</v>
      </c>
      <c r="Z10" s="325">
        <f>Data!AT9/Z$4*100000*Z$3</f>
        <v>0</v>
      </c>
      <c r="AA10" s="325">
        <f>Data!AU9/AA$4*100000*AA$3</f>
        <v>8031.299119999082</v>
      </c>
      <c r="AB10" s="325">
        <f>Data!AV9/AB$4*100000*AB$3</f>
        <v>51378.3015801449</v>
      </c>
      <c r="AC10" s="325">
        <f>Data!AW9/AC$4*100000*AC$3</f>
        <v>91929.40629766944</v>
      </c>
      <c r="AD10" s="325">
        <f>Data!AX9/AD$4*100000*AD$3</f>
        <v>198607.85352197927</v>
      </c>
      <c r="AE10" s="325">
        <f>Data!AY9/AE$4*100000*AE$3</f>
        <v>174344.39244092526</v>
      </c>
      <c r="AF10" s="325">
        <f>Data!AZ9/AF$4*100000*AF$3</f>
        <v>315691.22652904358</v>
      </c>
      <c r="AG10" s="325">
        <f>Data!BA9/AG$4*100000*AG$3</f>
        <v>356387.90377526596</v>
      </c>
      <c r="AH10" s="325">
        <f>Data!BB9/AH$4*100000*AH$3</f>
        <v>399425.16589881224</v>
      </c>
      <c r="AI10" s="325">
        <f>Data!BC9/AI$4*100000*AI$3</f>
        <v>414927.26122707146</v>
      </c>
      <c r="AJ10" s="325">
        <f>Data!BD9/AJ$4*100000*AJ$3</f>
        <v>216989.47199228482</v>
      </c>
      <c r="AK10" s="325">
        <f>Data!BE9/AK$4*100000*AK$3</f>
        <v>249000.72079156016</v>
      </c>
      <c r="AL10" s="333" t="s">
        <v>353</v>
      </c>
      <c r="AM10" s="325">
        <f t="shared" si="3"/>
        <v>1614397.5763242689</v>
      </c>
      <c r="AN10" s="325">
        <f>Data!AN9/AN$4*100000*AN$3</f>
        <v>0</v>
      </c>
      <c r="AO10" s="325">
        <f>Data!AO9/AO$4*100000*AO$3</f>
        <v>0</v>
      </c>
      <c r="AP10" s="325">
        <f>Data!AP9/AP$4*100000*AP$3</f>
        <v>0</v>
      </c>
      <c r="AQ10" s="325">
        <f>Data!AQ9/AQ$4*100000*AQ$3</f>
        <v>0</v>
      </c>
      <c r="AR10" s="325">
        <f>Data!AR9/AR$4*100000*AR$3</f>
        <v>0</v>
      </c>
      <c r="AS10" s="325">
        <f>Data!AS9/AS$4*100000*AS$3</f>
        <v>0</v>
      </c>
      <c r="AT10" s="325">
        <f>Data!AT9/AT$4*100000*AT$3</f>
        <v>0</v>
      </c>
      <c r="AU10" s="325">
        <f>Data!AU9/AU$4*100000*AU$3</f>
        <v>6883.9706742849276</v>
      </c>
      <c r="AV10" s="325">
        <f>Data!AV9/AV$4*100000*AV$3</f>
        <v>44038.544211552777</v>
      </c>
      <c r="AW10" s="325">
        <f>Data!AW9/AW$4*100000*AW$3</f>
        <v>78796.633969430943</v>
      </c>
      <c r="AX10" s="325">
        <f>Data!AX9/AX$4*100000*AX$3</f>
        <v>141862.75251569948</v>
      </c>
      <c r="AY10" s="325">
        <f>Data!AY9/AY$4*100000*AY$3</f>
        <v>116229.59496061684</v>
      </c>
      <c r="AZ10" s="325">
        <f>Data!AZ9/AZ$4*100000*AZ$3</f>
        <v>252552.98122323488</v>
      </c>
      <c r="BA10" s="325">
        <f>Data!BA9/BA$4*100000*BA$3</f>
        <v>267290.92783144949</v>
      </c>
      <c r="BB10" s="325">
        <f>Data!BB9/BB$4*100000*BB$3</f>
        <v>266283.44393254153</v>
      </c>
      <c r="BC10" s="325">
        <f>Data!BC9/BC$4*100000*BC$3</f>
        <v>207463.63061353573</v>
      </c>
      <c r="BD10" s="325">
        <f>Data!BD9/BD$4*100000*BD$3</f>
        <v>108494.73599614241</v>
      </c>
      <c r="BE10" s="325">
        <f>Data!BE9/BE$4*100000*BE$3</f>
        <v>124500.36039578008</v>
      </c>
    </row>
    <row r="11" spans="1:57" ht="12" customHeight="1">
      <c r="A11" s="30"/>
      <c r="B11" s="145" t="str">
        <f>UPPER(LEFT(TRIM(Data!B10),1)) &amp; MID(TRIM(Data!B10),2,50)</f>
        <v>Gaubtinės žarnos</v>
      </c>
      <c r="C11" s="145" t="str">
        <f>Data!C10</f>
        <v>C18</v>
      </c>
      <c r="D11" s="146">
        <f>Data!E10</f>
        <v>257</v>
      </c>
      <c r="E11" s="147">
        <f t="shared" si="5"/>
        <v>19.208749024614107</v>
      </c>
      <c r="F11" s="148">
        <f t="shared" si="6"/>
        <v>14.892278600845907</v>
      </c>
      <c r="G11" s="148">
        <f t="shared" si="7"/>
        <v>9.2441247517837652</v>
      </c>
      <c r="H11" s="59"/>
      <c r="I11" s="59"/>
      <c r="J11" s="59"/>
      <c r="K11" s="59"/>
      <c r="L11" s="59"/>
      <c r="M11" s="59"/>
      <c r="N11" s="59"/>
      <c r="O11" s="59"/>
      <c r="P11" s="60"/>
      <c r="Q11" s="317"/>
      <c r="R11" s="333" t="s">
        <v>353</v>
      </c>
      <c r="S11" s="325">
        <f t="shared" si="2"/>
        <v>1489227.8600845907</v>
      </c>
      <c r="T11" s="325">
        <f>Data!AN10/T$4*100000*T$3</f>
        <v>0</v>
      </c>
      <c r="U11" s="325">
        <f>Data!AO10/U$4*100000*U$3</f>
        <v>0</v>
      </c>
      <c r="V11" s="325">
        <f>Data!AP10/V$4*100000*V$3</f>
        <v>0</v>
      </c>
      <c r="W11" s="325">
        <f>Data!AQ10/W$4*100000*W$3</f>
        <v>0</v>
      </c>
      <c r="X11" s="325">
        <f>Data!AR10/X$4*100000*X$3</f>
        <v>6766.2268619206407</v>
      </c>
      <c r="Y11" s="325">
        <f>Data!AS10/Y$4*100000*Y$3</f>
        <v>0</v>
      </c>
      <c r="Z11" s="325">
        <f>Data!AT10/Z$4*100000*Z$3</f>
        <v>0</v>
      </c>
      <c r="AA11" s="325">
        <f>Data!AU10/AA$4*100000*AA$3</f>
        <v>8031.299119999082</v>
      </c>
      <c r="AB11" s="325">
        <f>Data!AV10/AB$4*100000*AB$3</f>
        <v>0</v>
      </c>
      <c r="AC11" s="325">
        <f>Data!AW10/AC$4*100000*AC$3</f>
        <v>14142.985584256836</v>
      </c>
      <c r="AD11" s="325">
        <f>Data!AX10/AD$4*100000*AD$3</f>
        <v>52962.094272527807</v>
      </c>
      <c r="AE11" s="325">
        <f>Data!AY10/AE$4*100000*AE$3</f>
        <v>118305.12344205643</v>
      </c>
      <c r="AF11" s="325">
        <f>Data!AZ10/AF$4*100000*AF$3</f>
        <v>96079.938508839361</v>
      </c>
      <c r="AG11" s="325">
        <f>Data!BA10/AG$4*100000*AG$3</f>
        <v>244579.93396341783</v>
      </c>
      <c r="AH11" s="325">
        <f>Data!BB10/AH$4*100000*AH$3</f>
        <v>278963.60792932921</v>
      </c>
      <c r="AI11" s="325">
        <f>Data!BC10/AI$4*100000*AI$3</f>
        <v>298545.22454142949</v>
      </c>
      <c r="AJ11" s="325">
        <f>Data!BD10/AJ$4*100000*AJ$3</f>
        <v>180824.5599935707</v>
      </c>
      <c r="AK11" s="325">
        <f>Data!BE10/AK$4*100000*AK$3</f>
        <v>190026.86586724332</v>
      </c>
      <c r="AL11" s="333" t="s">
        <v>353</v>
      </c>
      <c r="AM11" s="325">
        <f t="shared" si="3"/>
        <v>924412.47517837654</v>
      </c>
      <c r="AN11" s="325">
        <f>Data!AN10/AN$4*100000*AN$3</f>
        <v>0</v>
      </c>
      <c r="AO11" s="325">
        <f>Data!AO10/AO$4*100000*AO$3</f>
        <v>0</v>
      </c>
      <c r="AP11" s="325">
        <f>Data!AP10/AP$4*100000*AP$3</f>
        <v>0</v>
      </c>
      <c r="AQ11" s="325">
        <f>Data!AQ10/AQ$4*100000*AQ$3</f>
        <v>0</v>
      </c>
      <c r="AR11" s="325">
        <f>Data!AR10/AR$4*100000*AR$3</f>
        <v>7732.8306993378756</v>
      </c>
      <c r="AS11" s="325">
        <f>Data!AS10/AS$4*100000*AS$3</f>
        <v>0</v>
      </c>
      <c r="AT11" s="325">
        <f>Data!AT10/AT$4*100000*AT$3</f>
        <v>0</v>
      </c>
      <c r="AU11" s="325">
        <f>Data!AU10/AU$4*100000*AU$3</f>
        <v>6883.9706742849276</v>
      </c>
      <c r="AV11" s="325">
        <f>Data!AV10/AV$4*100000*AV$3</f>
        <v>0</v>
      </c>
      <c r="AW11" s="325">
        <f>Data!AW10/AW$4*100000*AW$3</f>
        <v>12122.559072220145</v>
      </c>
      <c r="AX11" s="325">
        <f>Data!AX10/AX$4*100000*AX$3</f>
        <v>37830.06733751986</v>
      </c>
      <c r="AY11" s="325">
        <f>Data!AY10/AY$4*100000*AY$3</f>
        <v>78870.082294704291</v>
      </c>
      <c r="AZ11" s="325">
        <f>Data!AZ10/AZ$4*100000*AZ$3</f>
        <v>76863.950807071495</v>
      </c>
      <c r="BA11" s="325">
        <f>Data!BA10/BA$4*100000*BA$3</f>
        <v>183434.95047256336</v>
      </c>
      <c r="BB11" s="325">
        <f>Data!BB10/BB$4*100000*BB$3</f>
        <v>185975.73861955281</v>
      </c>
      <c r="BC11" s="325">
        <f>Data!BC10/BC$4*100000*BC$3</f>
        <v>149272.61227071474</v>
      </c>
      <c r="BD11" s="325">
        <f>Data!BD10/BD$4*100000*BD$3</f>
        <v>90412.27999678535</v>
      </c>
      <c r="BE11" s="325">
        <f>Data!BE10/BE$4*100000*BE$3</f>
        <v>95013.432933621662</v>
      </c>
    </row>
    <row r="12" spans="1:57" ht="12" customHeight="1">
      <c r="A12" s="30"/>
      <c r="B12" s="150" t="str">
        <f>UPPER(LEFT(TRIM(Data!B11),1)) &amp; MID(TRIM(Data!B11),2,50)</f>
        <v>Tiesiosios žarnos, išangės</v>
      </c>
      <c r="C12" s="129" t="str">
        <f>Data!C11</f>
        <v>C19-C21</v>
      </c>
      <c r="D12" s="142">
        <f>Data!E11</f>
        <v>252</v>
      </c>
      <c r="E12" s="131">
        <f t="shared" si="5"/>
        <v>18.835037954096322</v>
      </c>
      <c r="F12" s="132">
        <f t="shared" si="6"/>
        <v>14.969915663756714</v>
      </c>
      <c r="G12" s="133">
        <f t="shared" si="7"/>
        <v>9.6425140984862558</v>
      </c>
      <c r="H12" s="59"/>
      <c r="I12" s="59"/>
      <c r="J12" s="59"/>
      <c r="K12" s="59"/>
      <c r="L12" s="59"/>
      <c r="M12" s="59"/>
      <c r="N12" s="59"/>
      <c r="O12" s="59"/>
      <c r="P12" s="60"/>
      <c r="Q12" s="317"/>
      <c r="R12" s="333" t="s">
        <v>353</v>
      </c>
      <c r="S12" s="325">
        <f t="shared" si="2"/>
        <v>1496991.5663756714</v>
      </c>
      <c r="T12" s="325">
        <f>Data!AN11/T$4*100000*T$3</f>
        <v>0</v>
      </c>
      <c r="U12" s="325">
        <f>Data!AO11/U$4*100000*U$3</f>
        <v>0</v>
      </c>
      <c r="V12" s="325">
        <f>Data!AP11/V$4*100000*V$3</f>
        <v>0</v>
      </c>
      <c r="W12" s="325">
        <f>Data!AQ11/W$4*100000*W$3</f>
        <v>0</v>
      </c>
      <c r="X12" s="325">
        <f>Data!AR11/X$4*100000*X$3</f>
        <v>0</v>
      </c>
      <c r="Y12" s="325">
        <f>Data!AS11/Y$4*100000*Y$3</f>
        <v>0</v>
      </c>
      <c r="Z12" s="325">
        <f>Data!AT11/Z$4*100000*Z$3</f>
        <v>7749.4492355721868</v>
      </c>
      <c r="AA12" s="325">
        <f>Data!AU11/AA$4*100000*AA$3</f>
        <v>0</v>
      </c>
      <c r="AB12" s="325">
        <f>Data!AV11/AB$4*100000*AB$3</f>
        <v>22019.272105776388</v>
      </c>
      <c r="AC12" s="325">
        <f>Data!AW11/AC$4*100000*AC$3</f>
        <v>49500.449544898926</v>
      </c>
      <c r="AD12" s="325">
        <f>Data!AX11/AD$4*100000*AD$3</f>
        <v>59582.356056593781</v>
      </c>
      <c r="AE12" s="325">
        <f>Data!AY11/AE$4*100000*AE$3</f>
        <v>112078.53799773766</v>
      </c>
      <c r="AF12" s="325">
        <f>Data!AZ11/AF$4*100000*AF$3</f>
        <v>226474.1407708356</v>
      </c>
      <c r="AG12" s="325">
        <f>Data!BA11/AG$4*100000*AG$3</f>
        <v>174699.95283101272</v>
      </c>
      <c r="AH12" s="325">
        <f>Data!BB11/AH$4*100000*AH$3</f>
        <v>266283.44393254153</v>
      </c>
      <c r="AI12" s="325">
        <f>Data!BC11/AI$4*100000*AI$3</f>
        <v>253004.42757748259</v>
      </c>
      <c r="AJ12" s="325">
        <f>Data!BD11/AJ$4*100000*AJ$3</f>
        <v>148677.9715502692</v>
      </c>
      <c r="AK12" s="325">
        <f>Data!BE11/AK$4*100000*AK$3</f>
        <v>176921.56477295066</v>
      </c>
      <c r="AL12" s="333" t="s">
        <v>353</v>
      </c>
      <c r="AM12" s="325">
        <f t="shared" si="3"/>
        <v>964251.40984862554</v>
      </c>
      <c r="AN12" s="325">
        <f>Data!AN11/AN$4*100000*AN$3</f>
        <v>0</v>
      </c>
      <c r="AO12" s="325">
        <f>Data!AO11/AO$4*100000*AO$3</f>
        <v>0</v>
      </c>
      <c r="AP12" s="325">
        <f>Data!AP11/AP$4*100000*AP$3</f>
        <v>0</v>
      </c>
      <c r="AQ12" s="325">
        <f>Data!AQ11/AQ$4*100000*AQ$3</f>
        <v>0</v>
      </c>
      <c r="AR12" s="325">
        <f>Data!AR11/AR$4*100000*AR$3</f>
        <v>0</v>
      </c>
      <c r="AS12" s="325">
        <f>Data!AS11/AS$4*100000*AS$3</f>
        <v>0</v>
      </c>
      <c r="AT12" s="325">
        <f>Data!AT11/AT$4*100000*AT$3</f>
        <v>6642.3850590618749</v>
      </c>
      <c r="AU12" s="325">
        <f>Data!AU11/AU$4*100000*AU$3</f>
        <v>0</v>
      </c>
      <c r="AV12" s="325">
        <f>Data!AV11/AV$4*100000*AV$3</f>
        <v>18873.661804951193</v>
      </c>
      <c r="AW12" s="325">
        <f>Data!AW11/AW$4*100000*AW$3</f>
        <v>42428.956752770508</v>
      </c>
      <c r="AX12" s="325">
        <f>Data!AX11/AX$4*100000*AX$3</f>
        <v>42558.82575470984</v>
      </c>
      <c r="AY12" s="325">
        <f>Data!AY11/AY$4*100000*AY$3</f>
        <v>74719.025331825105</v>
      </c>
      <c r="AZ12" s="325">
        <f>Data!AZ11/AZ$4*100000*AZ$3</f>
        <v>181179.3126166685</v>
      </c>
      <c r="BA12" s="325">
        <f>Data!BA11/BA$4*100000*BA$3</f>
        <v>131024.96462325954</v>
      </c>
      <c r="BB12" s="325">
        <f>Data!BB11/BB$4*100000*BB$3</f>
        <v>177522.29595502769</v>
      </c>
      <c r="BC12" s="325">
        <f>Data!BC11/BC$4*100000*BC$3</f>
        <v>126502.2137887413</v>
      </c>
      <c r="BD12" s="325">
        <f>Data!BD11/BD$4*100000*BD$3</f>
        <v>74338.985775134599</v>
      </c>
      <c r="BE12" s="325">
        <f>Data!BE11/BE$4*100000*BE$3</f>
        <v>88460.78238647533</v>
      </c>
    </row>
    <row r="13" spans="1:57" ht="12" customHeight="1">
      <c r="A13" s="30"/>
      <c r="B13" s="145" t="str">
        <f>UPPER(LEFT(TRIM(Data!B12),1)) &amp; MID(TRIM(Data!B12),2,50)</f>
        <v>Kepenų</v>
      </c>
      <c r="C13" s="145" t="str">
        <f>Data!C12</f>
        <v>C22</v>
      </c>
      <c r="D13" s="146">
        <f>Data!E12</f>
        <v>125</v>
      </c>
      <c r="E13" s="147">
        <f t="shared" si="5"/>
        <v>9.3427767629446041</v>
      </c>
      <c r="F13" s="148">
        <f t="shared" si="6"/>
        <v>7.7961834848681608</v>
      </c>
      <c r="G13" s="148">
        <f t="shared" si="7"/>
        <v>5.3029768510934874</v>
      </c>
      <c r="H13" s="59"/>
      <c r="I13" s="59"/>
      <c r="J13" s="59"/>
      <c r="K13" s="59"/>
      <c r="L13" s="59"/>
      <c r="M13" s="59"/>
      <c r="N13" s="59"/>
      <c r="O13" s="59"/>
      <c r="P13" s="60"/>
      <c r="Q13" s="317"/>
      <c r="R13" s="333" t="s">
        <v>353</v>
      </c>
      <c r="S13" s="325">
        <f t="shared" si="2"/>
        <v>779618.34848681604</v>
      </c>
      <c r="T13" s="325">
        <f>Data!AN12/T$4*100000*T$3</f>
        <v>0</v>
      </c>
      <c r="U13" s="325">
        <f>Data!AO12/U$4*100000*U$3</f>
        <v>0</v>
      </c>
      <c r="V13" s="325">
        <f>Data!AP12/V$4*100000*V$3</f>
        <v>0</v>
      </c>
      <c r="W13" s="325">
        <f>Data!AQ12/W$4*100000*W$3</f>
        <v>0</v>
      </c>
      <c r="X13" s="325">
        <f>Data!AR12/X$4*100000*X$3</f>
        <v>0</v>
      </c>
      <c r="Y13" s="325">
        <f>Data!AS12/Y$4*100000*Y$3</f>
        <v>0</v>
      </c>
      <c r="Z13" s="325">
        <f>Data!AT12/Z$4*100000*Z$3</f>
        <v>15498.898471144374</v>
      </c>
      <c r="AA13" s="325">
        <f>Data!AU12/AA$4*100000*AA$3</f>
        <v>0</v>
      </c>
      <c r="AB13" s="325">
        <f>Data!AV12/AB$4*100000*AB$3</f>
        <v>14679.514737184261</v>
      </c>
      <c r="AC13" s="325">
        <f>Data!AW12/AC$4*100000*AC$3</f>
        <v>7071.4927921284179</v>
      </c>
      <c r="AD13" s="325">
        <f>Data!AX12/AD$4*100000*AD$3</f>
        <v>99303.926760989634</v>
      </c>
      <c r="AE13" s="325">
        <f>Data!AY12/AE$4*100000*AE$3</f>
        <v>62265.8544431876</v>
      </c>
      <c r="AF13" s="325">
        <f>Data!AZ12/AF$4*100000*AF$3</f>
        <v>123531.34951136488</v>
      </c>
      <c r="AG13" s="325">
        <f>Data!BA12/AG$4*100000*AG$3</f>
        <v>174699.95283101272</v>
      </c>
      <c r="AH13" s="325">
        <f>Data!BB12/AH$4*100000*AH$3</f>
        <v>88761.147977513843</v>
      </c>
      <c r="AI13" s="325">
        <f>Data!BC12/AI$4*100000*AI$3</f>
        <v>101201.77103099304</v>
      </c>
      <c r="AJ13" s="325">
        <f>Data!BD12/AJ$4*100000*AJ$3</f>
        <v>40183.235554126819</v>
      </c>
      <c r="AK13" s="325">
        <f>Data!BE12/AK$4*100000*AK$3</f>
        <v>52421.204377170565</v>
      </c>
      <c r="AL13" s="333" t="s">
        <v>353</v>
      </c>
      <c r="AM13" s="325">
        <f t="shared" si="3"/>
        <v>530297.68510934873</v>
      </c>
      <c r="AN13" s="325">
        <f>Data!AN12/AN$4*100000*AN$3</f>
        <v>0</v>
      </c>
      <c r="AO13" s="325">
        <f>Data!AO12/AO$4*100000*AO$3</f>
        <v>0</v>
      </c>
      <c r="AP13" s="325">
        <f>Data!AP12/AP$4*100000*AP$3</f>
        <v>0</v>
      </c>
      <c r="AQ13" s="325">
        <f>Data!AQ12/AQ$4*100000*AQ$3</f>
        <v>0</v>
      </c>
      <c r="AR13" s="325">
        <f>Data!AR12/AR$4*100000*AR$3</f>
        <v>0</v>
      </c>
      <c r="AS13" s="325">
        <f>Data!AS12/AS$4*100000*AS$3</f>
        <v>0</v>
      </c>
      <c r="AT13" s="325">
        <f>Data!AT12/AT$4*100000*AT$3</f>
        <v>13284.77011812375</v>
      </c>
      <c r="AU13" s="325">
        <f>Data!AU12/AU$4*100000*AU$3</f>
        <v>0</v>
      </c>
      <c r="AV13" s="325">
        <f>Data!AV12/AV$4*100000*AV$3</f>
        <v>12582.441203300796</v>
      </c>
      <c r="AW13" s="325">
        <f>Data!AW12/AW$4*100000*AW$3</f>
        <v>6061.2795361100725</v>
      </c>
      <c r="AX13" s="325">
        <f>Data!AX12/AX$4*100000*AX$3</f>
        <v>70931.376257849741</v>
      </c>
      <c r="AY13" s="325">
        <f>Data!AY12/AY$4*100000*AY$3</f>
        <v>41510.569628791738</v>
      </c>
      <c r="AZ13" s="325">
        <f>Data!AZ12/AZ$4*100000*AZ$3</f>
        <v>98825.079609091903</v>
      </c>
      <c r="BA13" s="325">
        <f>Data!BA12/BA$4*100000*BA$3</f>
        <v>131024.96462325954</v>
      </c>
      <c r="BB13" s="325">
        <f>Data!BB12/BB$4*100000*BB$3</f>
        <v>59174.098651675893</v>
      </c>
      <c r="BC13" s="325">
        <f>Data!BC12/BC$4*100000*BC$3</f>
        <v>50600.88551549652</v>
      </c>
      <c r="BD13" s="325">
        <f>Data!BD12/BD$4*100000*BD$3</f>
        <v>20091.617777063409</v>
      </c>
      <c r="BE13" s="325">
        <f>Data!BE12/BE$4*100000*BE$3</f>
        <v>26210.602188585282</v>
      </c>
    </row>
    <row r="14" spans="1:57" ht="12" customHeight="1">
      <c r="A14" s="30"/>
      <c r="B14" s="150" t="str">
        <f>UPPER(LEFT(TRIM(Data!B13),1)) &amp; MID(TRIM(Data!B13),2,50)</f>
        <v>Tulžies pūslės, ekstrahepatinių takų</v>
      </c>
      <c r="C14" s="129" t="str">
        <f>Data!C13</f>
        <v>C23, C24</v>
      </c>
      <c r="D14" s="142">
        <f>Data!E13</f>
        <v>35</v>
      </c>
      <c r="E14" s="131">
        <f t="shared" si="5"/>
        <v>2.6159774936244893</v>
      </c>
      <c r="F14" s="132">
        <f t="shared" si="6"/>
        <v>2.1030779764354404</v>
      </c>
      <c r="G14" s="133">
        <f t="shared" si="7"/>
        <v>1.3902166934384461</v>
      </c>
      <c r="H14" s="59"/>
      <c r="I14" s="59"/>
      <c r="J14" s="59"/>
      <c r="K14" s="59"/>
      <c r="L14" s="59"/>
      <c r="M14" s="59"/>
      <c r="N14" s="59"/>
      <c r="O14" s="59"/>
      <c r="P14" s="60"/>
      <c r="Q14" s="317"/>
      <c r="R14" s="333" t="s">
        <v>353</v>
      </c>
      <c r="S14" s="325">
        <f t="shared" si="2"/>
        <v>210307.79764354404</v>
      </c>
      <c r="T14" s="325">
        <f>Data!AN13/T$4*100000*T$3</f>
        <v>0</v>
      </c>
      <c r="U14" s="325">
        <f>Data!AO13/U$4*100000*U$3</f>
        <v>0</v>
      </c>
      <c r="V14" s="325">
        <f>Data!AP13/V$4*100000*V$3</f>
        <v>0</v>
      </c>
      <c r="W14" s="325">
        <f>Data!AQ13/W$4*100000*W$3</f>
        <v>0</v>
      </c>
      <c r="X14" s="325">
        <f>Data!AR13/X$4*100000*X$3</f>
        <v>0</v>
      </c>
      <c r="Y14" s="325">
        <f>Data!AS13/Y$4*100000*Y$3</f>
        <v>0</v>
      </c>
      <c r="Z14" s="325">
        <f>Data!AT13/Z$4*100000*Z$3</f>
        <v>0</v>
      </c>
      <c r="AA14" s="325">
        <f>Data!AU13/AA$4*100000*AA$3</f>
        <v>8031.299119999082</v>
      </c>
      <c r="AB14" s="325">
        <f>Data!AV13/AB$4*100000*AB$3</f>
        <v>7339.7573685921307</v>
      </c>
      <c r="AC14" s="325">
        <f>Data!AW13/AC$4*100000*AC$3</f>
        <v>7071.4927921284179</v>
      </c>
      <c r="AD14" s="325">
        <f>Data!AX13/AD$4*100000*AD$3</f>
        <v>13240.523568131952</v>
      </c>
      <c r="AE14" s="325">
        <f>Data!AY13/AE$4*100000*AE$3</f>
        <v>12453.17088863752</v>
      </c>
      <c r="AF14" s="325">
        <f>Data!AZ13/AF$4*100000*AF$3</f>
        <v>13725.705501262766</v>
      </c>
      <c r="AG14" s="325">
        <f>Data!BA13/AG$4*100000*AG$3</f>
        <v>41927.988679443064</v>
      </c>
      <c r="AH14" s="325">
        <f>Data!BB13/AH$4*100000*AH$3</f>
        <v>38040.49199036308</v>
      </c>
      <c r="AI14" s="325">
        <f>Data!BC13/AI$4*100000*AI$3</f>
        <v>10120.177103099306</v>
      </c>
      <c r="AJ14" s="325">
        <f>Data!BD13/AJ$4*100000*AJ$3</f>
        <v>32146.588443301454</v>
      </c>
      <c r="AK14" s="325">
        <f>Data!BE13/AK$4*100000*AK$3</f>
        <v>26210.602188585282</v>
      </c>
      <c r="AL14" s="333" t="s">
        <v>353</v>
      </c>
      <c r="AM14" s="325">
        <f t="shared" si="3"/>
        <v>139021.66934384461</v>
      </c>
      <c r="AN14" s="325">
        <f>Data!AN13/AN$4*100000*AN$3</f>
        <v>0</v>
      </c>
      <c r="AO14" s="325">
        <f>Data!AO13/AO$4*100000*AO$3</f>
        <v>0</v>
      </c>
      <c r="AP14" s="325">
        <f>Data!AP13/AP$4*100000*AP$3</f>
        <v>0</v>
      </c>
      <c r="AQ14" s="325">
        <f>Data!AQ13/AQ$4*100000*AQ$3</f>
        <v>0</v>
      </c>
      <c r="AR14" s="325">
        <f>Data!AR13/AR$4*100000*AR$3</f>
        <v>0</v>
      </c>
      <c r="AS14" s="325">
        <f>Data!AS13/AS$4*100000*AS$3</f>
        <v>0</v>
      </c>
      <c r="AT14" s="325">
        <f>Data!AT13/AT$4*100000*AT$3</f>
        <v>0</v>
      </c>
      <c r="AU14" s="325">
        <f>Data!AU13/AU$4*100000*AU$3</f>
        <v>6883.9706742849276</v>
      </c>
      <c r="AV14" s="325">
        <f>Data!AV13/AV$4*100000*AV$3</f>
        <v>6291.2206016503978</v>
      </c>
      <c r="AW14" s="325">
        <f>Data!AW13/AW$4*100000*AW$3</f>
        <v>6061.2795361100725</v>
      </c>
      <c r="AX14" s="325">
        <f>Data!AX13/AX$4*100000*AX$3</f>
        <v>9457.5168343799651</v>
      </c>
      <c r="AY14" s="325">
        <f>Data!AY13/AY$4*100000*AY$3</f>
        <v>8302.1139257583472</v>
      </c>
      <c r="AZ14" s="325">
        <f>Data!AZ13/AZ$4*100000*AZ$3</f>
        <v>10980.564401010213</v>
      </c>
      <c r="BA14" s="325">
        <f>Data!BA13/BA$4*100000*BA$3</f>
        <v>31445.991509582294</v>
      </c>
      <c r="BB14" s="325">
        <f>Data!BB13/BB$4*100000*BB$3</f>
        <v>25360.327993575385</v>
      </c>
      <c r="BC14" s="325">
        <f>Data!BC13/BC$4*100000*BC$3</f>
        <v>5060.0885515496529</v>
      </c>
      <c r="BD14" s="325">
        <f>Data!BD13/BD$4*100000*BD$3</f>
        <v>16073.294221650727</v>
      </c>
      <c r="BE14" s="325">
        <f>Data!BE13/BE$4*100000*BE$3</f>
        <v>13105.301094292641</v>
      </c>
    </row>
    <row r="15" spans="1:57" ht="12" customHeight="1">
      <c r="A15" s="30"/>
      <c r="B15" s="145" t="str">
        <f>UPPER(LEFT(TRIM(Data!B14),1)) &amp; MID(TRIM(Data!B14),2,50)</f>
        <v>Kasos</v>
      </c>
      <c r="C15" s="145" t="str">
        <f>Data!C14</f>
        <v>C25</v>
      </c>
      <c r="D15" s="146">
        <f>Data!E14</f>
        <v>226</v>
      </c>
      <c r="E15" s="147">
        <f t="shared" si="5"/>
        <v>16.891740387403843</v>
      </c>
      <c r="F15" s="148">
        <f t="shared" si="6"/>
        <v>13.948010061071939</v>
      </c>
      <c r="G15" s="148">
        <f t="shared" si="7"/>
        <v>9.4122898251427376</v>
      </c>
      <c r="H15" s="59"/>
      <c r="I15" s="59"/>
      <c r="J15" s="59"/>
      <c r="K15" s="59"/>
      <c r="L15" s="59"/>
      <c r="M15" s="59"/>
      <c r="N15" s="59"/>
      <c r="O15" s="59"/>
      <c r="P15" s="60"/>
      <c r="Q15" s="317"/>
      <c r="R15" s="333" t="s">
        <v>353</v>
      </c>
      <c r="S15" s="325">
        <f t="shared" si="2"/>
        <v>1394801.0061071939</v>
      </c>
      <c r="T15" s="325">
        <f>Data!AN14/T$4*100000*T$3</f>
        <v>0</v>
      </c>
      <c r="U15" s="325">
        <f>Data!AO14/U$4*100000*U$3</f>
        <v>0</v>
      </c>
      <c r="V15" s="325">
        <f>Data!AP14/V$4*100000*V$3</f>
        <v>0</v>
      </c>
      <c r="W15" s="325">
        <f>Data!AQ14/W$4*100000*W$3</f>
        <v>0</v>
      </c>
      <c r="X15" s="325">
        <f>Data!AR14/X$4*100000*X$3</f>
        <v>0</v>
      </c>
      <c r="Y15" s="325">
        <f>Data!AS14/Y$4*100000*Y$3</f>
        <v>0</v>
      </c>
      <c r="Z15" s="325">
        <f>Data!AT14/Z$4*100000*Z$3</f>
        <v>0</v>
      </c>
      <c r="AA15" s="325">
        <f>Data!AU14/AA$4*100000*AA$3</f>
        <v>0</v>
      </c>
      <c r="AB15" s="325">
        <f>Data!AV14/AB$4*100000*AB$3</f>
        <v>29359.029474368523</v>
      </c>
      <c r="AC15" s="325">
        <f>Data!AW14/AC$4*100000*AC$3</f>
        <v>56571.942337027343</v>
      </c>
      <c r="AD15" s="325">
        <f>Data!AX14/AD$4*100000*AD$3</f>
        <v>112544.45032912158</v>
      </c>
      <c r="AE15" s="325">
        <f>Data!AY14/AE$4*100000*AE$3</f>
        <v>118305.12344205643</v>
      </c>
      <c r="AF15" s="325">
        <f>Data!AZ14/AF$4*100000*AF$3</f>
        <v>150982.76051389042</v>
      </c>
      <c r="AG15" s="325">
        <f>Data!BA14/AG$4*100000*AG$3</f>
        <v>335423.90943554451</v>
      </c>
      <c r="AH15" s="325">
        <f>Data!BB14/AH$4*100000*AH$3</f>
        <v>240923.11593896616</v>
      </c>
      <c r="AI15" s="325">
        <f>Data!BC14/AI$4*100000*AI$3</f>
        <v>177103.09930423781</v>
      </c>
      <c r="AJ15" s="325">
        <f>Data!BD14/AJ$4*100000*AJ$3</f>
        <v>88403.118219078999</v>
      </c>
      <c r="AK15" s="325">
        <f>Data!BE14/AK$4*100000*AK$3</f>
        <v>85184.457112902164</v>
      </c>
      <c r="AL15" s="333" t="s">
        <v>353</v>
      </c>
      <c r="AM15" s="325">
        <f t="shared" si="3"/>
        <v>941228.98251427372</v>
      </c>
      <c r="AN15" s="325">
        <f>Data!AN14/AN$4*100000*AN$3</f>
        <v>0</v>
      </c>
      <c r="AO15" s="325">
        <f>Data!AO14/AO$4*100000*AO$3</f>
        <v>0</v>
      </c>
      <c r="AP15" s="325">
        <f>Data!AP14/AP$4*100000*AP$3</f>
        <v>0</v>
      </c>
      <c r="AQ15" s="325">
        <f>Data!AQ14/AQ$4*100000*AQ$3</f>
        <v>0</v>
      </c>
      <c r="AR15" s="325">
        <f>Data!AR14/AR$4*100000*AR$3</f>
        <v>0</v>
      </c>
      <c r="AS15" s="325">
        <f>Data!AS14/AS$4*100000*AS$3</f>
        <v>0</v>
      </c>
      <c r="AT15" s="325">
        <f>Data!AT14/AT$4*100000*AT$3</f>
        <v>0</v>
      </c>
      <c r="AU15" s="325">
        <f>Data!AU14/AU$4*100000*AU$3</f>
        <v>0</v>
      </c>
      <c r="AV15" s="325">
        <f>Data!AV14/AV$4*100000*AV$3</f>
        <v>25164.882406601591</v>
      </c>
      <c r="AW15" s="325">
        <f>Data!AW14/AW$4*100000*AW$3</f>
        <v>48490.23628888058</v>
      </c>
      <c r="AX15" s="325">
        <f>Data!AX14/AX$4*100000*AX$3</f>
        <v>80388.8930922297</v>
      </c>
      <c r="AY15" s="325">
        <f>Data!AY14/AY$4*100000*AY$3</f>
        <v>78870.082294704291</v>
      </c>
      <c r="AZ15" s="325">
        <f>Data!AZ14/AZ$4*100000*AZ$3</f>
        <v>120786.20841111233</v>
      </c>
      <c r="BA15" s="325">
        <f>Data!BA14/BA$4*100000*BA$3</f>
        <v>251567.93207665836</v>
      </c>
      <c r="BB15" s="325">
        <f>Data!BB14/BB$4*100000*BB$3</f>
        <v>160615.41062597744</v>
      </c>
      <c r="BC15" s="325">
        <f>Data!BC14/BC$4*100000*BC$3</f>
        <v>88551.549652118905</v>
      </c>
      <c r="BD15" s="325">
        <f>Data!BD14/BD$4*100000*BD$3</f>
        <v>44201.559109539499</v>
      </c>
      <c r="BE15" s="325">
        <f>Data!BE14/BE$4*100000*BE$3</f>
        <v>42592.228556451082</v>
      </c>
    </row>
    <row r="16" spans="1:57" ht="12" customHeight="1">
      <c r="A16" s="30"/>
      <c r="B16" s="150" t="str">
        <f>UPPER(LEFT(TRIM(Data!B15),1)) &amp; MID(TRIM(Data!B15),2,50)</f>
        <v>Kitų virškinimo sistemos organų</v>
      </c>
      <c r="C16" s="129" t="str">
        <f>Data!C15</f>
        <v>C17, C26, C48</v>
      </c>
      <c r="D16" s="142">
        <f>Data!E15</f>
        <v>27</v>
      </c>
      <c r="E16" s="131">
        <f t="shared" si="5"/>
        <v>2.0180397807960344</v>
      </c>
      <c r="F16" s="132">
        <f t="shared" si="6"/>
        <v>1.6289802470000514</v>
      </c>
      <c r="G16" s="133">
        <f t="shared" si="7"/>
        <v>1.0455797719621731</v>
      </c>
      <c r="H16" s="59"/>
      <c r="I16" s="59"/>
      <c r="J16" s="59"/>
      <c r="K16" s="59"/>
      <c r="L16" s="59"/>
      <c r="M16" s="59"/>
      <c r="N16" s="59"/>
      <c r="O16" s="59"/>
      <c r="P16" s="60"/>
      <c r="Q16" s="317"/>
      <c r="R16" s="333" t="s">
        <v>353</v>
      </c>
      <c r="S16" s="325">
        <f t="shared" si="2"/>
        <v>162898.02470000513</v>
      </c>
      <c r="T16" s="325">
        <f>Data!AN15/T$4*100000*T$3</f>
        <v>0</v>
      </c>
      <c r="U16" s="325">
        <f>Data!AO15/U$4*100000*U$3</f>
        <v>0</v>
      </c>
      <c r="V16" s="325">
        <f>Data!AP15/V$4*100000*V$3</f>
        <v>0</v>
      </c>
      <c r="W16" s="325">
        <f>Data!AQ15/W$4*100000*W$3</f>
        <v>0</v>
      </c>
      <c r="X16" s="325">
        <f>Data!AR15/X$4*100000*X$3</f>
        <v>0</v>
      </c>
      <c r="Y16" s="325">
        <f>Data!AS15/Y$4*100000*Y$3</f>
        <v>0</v>
      </c>
      <c r="Z16" s="325">
        <f>Data!AT15/Z$4*100000*Z$3</f>
        <v>0</v>
      </c>
      <c r="AA16" s="325">
        <f>Data!AU15/AA$4*100000*AA$3</f>
        <v>8031.299119999082</v>
      </c>
      <c r="AB16" s="325">
        <f>Data!AV15/AB$4*100000*AB$3</f>
        <v>0</v>
      </c>
      <c r="AC16" s="325">
        <f>Data!AW15/AC$4*100000*AC$3</f>
        <v>0</v>
      </c>
      <c r="AD16" s="325">
        <f>Data!AX15/AD$4*100000*AD$3</f>
        <v>13240.523568131952</v>
      </c>
      <c r="AE16" s="325">
        <f>Data!AY15/AE$4*100000*AE$3</f>
        <v>0</v>
      </c>
      <c r="AF16" s="325">
        <f>Data!AZ15/AF$4*100000*AF$3</f>
        <v>13725.705501262766</v>
      </c>
      <c r="AG16" s="325">
        <f>Data!BA15/AG$4*100000*AG$3</f>
        <v>48915.986792683565</v>
      </c>
      <c r="AH16" s="325">
        <f>Data!BB15/AH$4*100000*AH$3</f>
        <v>6340.0819983938454</v>
      </c>
      <c r="AI16" s="325">
        <f>Data!BC15/AI$4*100000*AI$3</f>
        <v>30360.531309297916</v>
      </c>
      <c r="AJ16" s="325">
        <f>Data!BD15/AJ$4*100000*AJ$3</f>
        <v>16073.294221650727</v>
      </c>
      <c r="AK16" s="325">
        <f>Data!BE15/AK$4*100000*AK$3</f>
        <v>26210.602188585282</v>
      </c>
      <c r="AL16" s="333" t="s">
        <v>353</v>
      </c>
      <c r="AM16" s="325">
        <f t="shared" si="3"/>
        <v>104557.97719621731</v>
      </c>
      <c r="AN16" s="325">
        <f>Data!AN15/AN$4*100000*AN$3</f>
        <v>0</v>
      </c>
      <c r="AO16" s="325">
        <f>Data!AO15/AO$4*100000*AO$3</f>
        <v>0</v>
      </c>
      <c r="AP16" s="325">
        <f>Data!AP15/AP$4*100000*AP$3</f>
        <v>0</v>
      </c>
      <c r="AQ16" s="325">
        <f>Data!AQ15/AQ$4*100000*AQ$3</f>
        <v>0</v>
      </c>
      <c r="AR16" s="325">
        <f>Data!AR15/AR$4*100000*AR$3</f>
        <v>0</v>
      </c>
      <c r="AS16" s="325">
        <f>Data!AS15/AS$4*100000*AS$3</f>
        <v>0</v>
      </c>
      <c r="AT16" s="325">
        <f>Data!AT15/AT$4*100000*AT$3</f>
        <v>0</v>
      </c>
      <c r="AU16" s="325">
        <f>Data!AU15/AU$4*100000*AU$3</f>
        <v>6883.9706742849276</v>
      </c>
      <c r="AV16" s="325">
        <f>Data!AV15/AV$4*100000*AV$3</f>
        <v>0</v>
      </c>
      <c r="AW16" s="325">
        <f>Data!AW15/AW$4*100000*AW$3</f>
        <v>0</v>
      </c>
      <c r="AX16" s="325">
        <f>Data!AX15/AX$4*100000*AX$3</f>
        <v>9457.5168343799651</v>
      </c>
      <c r="AY16" s="325">
        <f>Data!AY15/AY$4*100000*AY$3</f>
        <v>0</v>
      </c>
      <c r="AZ16" s="325">
        <f>Data!AZ15/AZ$4*100000*AZ$3</f>
        <v>10980.564401010213</v>
      </c>
      <c r="BA16" s="325">
        <f>Data!BA15/BA$4*100000*BA$3</f>
        <v>36686.990094512672</v>
      </c>
      <c r="BB16" s="325">
        <f>Data!BB15/BB$4*100000*BB$3</f>
        <v>4226.7213322625639</v>
      </c>
      <c r="BC16" s="325">
        <f>Data!BC15/BC$4*100000*BC$3</f>
        <v>15180.265654648958</v>
      </c>
      <c r="BD16" s="325">
        <f>Data!BD15/BD$4*100000*BD$3</f>
        <v>8036.6471108253636</v>
      </c>
      <c r="BE16" s="325">
        <f>Data!BE15/BE$4*100000*BE$3</f>
        <v>13105.301094292641</v>
      </c>
    </row>
    <row r="17" spans="1:57" ht="12" customHeight="1">
      <c r="A17" s="30"/>
      <c r="B17" s="145" t="str">
        <f>UPPER(LEFT(TRIM(Data!B16),1)) &amp; MID(TRIM(Data!B16),2,50)</f>
        <v>Nosies ertmės, vid.ausies ir ančių</v>
      </c>
      <c r="C17" s="145" t="str">
        <f>Data!C16</f>
        <v>C30, C31</v>
      </c>
      <c r="D17" s="146">
        <f>Data!E16</f>
        <v>11</v>
      </c>
      <c r="E17" s="147">
        <f t="shared" si="5"/>
        <v>0.82216435513912511</v>
      </c>
      <c r="F17" s="148">
        <f t="shared" si="6"/>
        <v>0.73264645869964884</v>
      </c>
      <c r="G17" s="148">
        <f t="shared" si="7"/>
        <v>0.54375233991376382</v>
      </c>
      <c r="H17" s="59"/>
      <c r="I17" s="59"/>
      <c r="J17" s="59"/>
      <c r="K17" s="59"/>
      <c r="L17" s="59"/>
      <c r="M17" s="59"/>
      <c r="N17" s="59"/>
      <c r="O17" s="59"/>
      <c r="P17" s="60"/>
      <c r="Q17" s="317"/>
      <c r="R17" s="333" t="s">
        <v>353</v>
      </c>
      <c r="S17" s="325">
        <f t="shared" si="2"/>
        <v>73264.645869964879</v>
      </c>
      <c r="T17" s="325">
        <f>Data!AN16/T$4*100000*T$3</f>
        <v>0</v>
      </c>
      <c r="U17" s="325">
        <f>Data!AO16/U$4*100000*U$3</f>
        <v>0</v>
      </c>
      <c r="V17" s="325">
        <f>Data!AP16/V$4*100000*V$3</f>
        <v>0</v>
      </c>
      <c r="W17" s="325">
        <f>Data!AQ16/W$4*100000*W$3</f>
        <v>0</v>
      </c>
      <c r="X17" s="325">
        <f>Data!AR16/X$4*100000*X$3</f>
        <v>0</v>
      </c>
      <c r="Y17" s="325">
        <f>Data!AS16/Y$4*100000*Y$3</f>
        <v>0</v>
      </c>
      <c r="Z17" s="325">
        <f>Data!AT16/Z$4*100000*Z$3</f>
        <v>0</v>
      </c>
      <c r="AA17" s="325">
        <f>Data!AU16/AA$4*100000*AA$3</f>
        <v>0</v>
      </c>
      <c r="AB17" s="325">
        <f>Data!AV16/AB$4*100000*AB$3</f>
        <v>7339.7573685921307</v>
      </c>
      <c r="AC17" s="325">
        <f>Data!AW16/AC$4*100000*AC$3</f>
        <v>14142.985584256836</v>
      </c>
      <c r="AD17" s="325">
        <f>Data!AX16/AD$4*100000*AD$3</f>
        <v>13240.523568131952</v>
      </c>
      <c r="AE17" s="325">
        <f>Data!AY16/AE$4*100000*AE$3</f>
        <v>0</v>
      </c>
      <c r="AF17" s="325">
        <f>Data!AZ16/AF$4*100000*AF$3</f>
        <v>20588.558251894148</v>
      </c>
      <c r="AG17" s="325">
        <f>Data!BA16/AG$4*100000*AG$3</f>
        <v>0</v>
      </c>
      <c r="AH17" s="325">
        <f>Data!BB16/AH$4*100000*AH$3</f>
        <v>6340.0819983938454</v>
      </c>
      <c r="AI17" s="325">
        <f>Data!BC16/AI$4*100000*AI$3</f>
        <v>5060.0885515496529</v>
      </c>
      <c r="AJ17" s="325">
        <f>Data!BD16/AJ$4*100000*AJ$3</f>
        <v>0</v>
      </c>
      <c r="AK17" s="325">
        <f>Data!BE16/AK$4*100000*AK$3</f>
        <v>6552.6505471463206</v>
      </c>
      <c r="AL17" s="333" t="s">
        <v>353</v>
      </c>
      <c r="AM17" s="325">
        <f t="shared" si="3"/>
        <v>54375.233991376379</v>
      </c>
      <c r="AN17" s="325">
        <f>Data!AN16/AN$4*100000*AN$3</f>
        <v>0</v>
      </c>
      <c r="AO17" s="325">
        <f>Data!AO16/AO$4*100000*AO$3</f>
        <v>0</v>
      </c>
      <c r="AP17" s="325">
        <f>Data!AP16/AP$4*100000*AP$3</f>
        <v>0</v>
      </c>
      <c r="AQ17" s="325">
        <f>Data!AQ16/AQ$4*100000*AQ$3</f>
        <v>0</v>
      </c>
      <c r="AR17" s="325">
        <f>Data!AR16/AR$4*100000*AR$3</f>
        <v>0</v>
      </c>
      <c r="AS17" s="325">
        <f>Data!AS16/AS$4*100000*AS$3</f>
        <v>0</v>
      </c>
      <c r="AT17" s="325">
        <f>Data!AT16/AT$4*100000*AT$3</f>
        <v>0</v>
      </c>
      <c r="AU17" s="325">
        <f>Data!AU16/AU$4*100000*AU$3</f>
        <v>0</v>
      </c>
      <c r="AV17" s="325">
        <f>Data!AV16/AV$4*100000*AV$3</f>
        <v>6291.2206016503978</v>
      </c>
      <c r="AW17" s="325">
        <f>Data!AW16/AW$4*100000*AW$3</f>
        <v>12122.559072220145</v>
      </c>
      <c r="AX17" s="325">
        <f>Data!AX16/AX$4*100000*AX$3</f>
        <v>9457.5168343799651</v>
      </c>
      <c r="AY17" s="325">
        <f>Data!AY16/AY$4*100000*AY$3</f>
        <v>0</v>
      </c>
      <c r="AZ17" s="325">
        <f>Data!AZ16/AZ$4*100000*AZ$3</f>
        <v>16470.846601515321</v>
      </c>
      <c r="BA17" s="325">
        <f>Data!BA16/BA$4*100000*BA$3</f>
        <v>0</v>
      </c>
      <c r="BB17" s="325">
        <f>Data!BB16/BB$4*100000*BB$3</f>
        <v>4226.7213322625639</v>
      </c>
      <c r="BC17" s="325">
        <f>Data!BC16/BC$4*100000*BC$3</f>
        <v>2530.0442757748265</v>
      </c>
      <c r="BD17" s="325">
        <f>Data!BD16/BD$4*100000*BD$3</f>
        <v>0</v>
      </c>
      <c r="BE17" s="325">
        <f>Data!BE16/BE$4*100000*BE$3</f>
        <v>3276.3252735731603</v>
      </c>
    </row>
    <row r="18" spans="1:57" ht="12" customHeight="1">
      <c r="A18" s="30"/>
      <c r="B18" s="150" t="str">
        <f>UPPER(LEFT(TRIM(Data!B17),1)) &amp; MID(TRIM(Data!B17),2,50)</f>
        <v>Gerklų</v>
      </c>
      <c r="C18" s="129" t="str">
        <f>Data!C17</f>
        <v>C32</v>
      </c>
      <c r="D18" s="142">
        <f>Data!E17</f>
        <v>122</v>
      </c>
      <c r="E18" s="131">
        <f t="shared" si="5"/>
        <v>9.1185501206339339</v>
      </c>
      <c r="F18" s="132">
        <f t="shared" si="6"/>
        <v>7.8032451049461207</v>
      </c>
      <c r="G18" s="133">
        <f t="shared" si="7"/>
        <v>5.476874709160156</v>
      </c>
      <c r="H18" s="59"/>
      <c r="I18" s="59"/>
      <c r="J18" s="59"/>
      <c r="K18" s="59"/>
      <c r="L18" s="59"/>
      <c r="M18" s="59"/>
      <c r="N18" s="59"/>
      <c r="O18" s="59"/>
      <c r="P18" s="60"/>
      <c r="Q18" s="317"/>
      <c r="R18" s="333" t="s">
        <v>353</v>
      </c>
      <c r="S18" s="325">
        <f t="shared" si="2"/>
        <v>780324.51049461204</v>
      </c>
      <c r="T18" s="325">
        <f>Data!AN17/T$4*100000*T$3</f>
        <v>0</v>
      </c>
      <c r="U18" s="325">
        <f>Data!AO17/U$4*100000*U$3</f>
        <v>0</v>
      </c>
      <c r="V18" s="325">
        <f>Data!AP17/V$4*100000*V$3</f>
        <v>0</v>
      </c>
      <c r="W18" s="325">
        <f>Data!AQ17/W$4*100000*W$3</f>
        <v>0</v>
      </c>
      <c r="X18" s="325">
        <f>Data!AR17/X$4*100000*X$3</f>
        <v>0</v>
      </c>
      <c r="Y18" s="325">
        <f>Data!AS17/Y$4*100000*Y$3</f>
        <v>0</v>
      </c>
      <c r="Z18" s="325">
        <f>Data!AT17/Z$4*100000*Z$3</f>
        <v>0</v>
      </c>
      <c r="AA18" s="325">
        <f>Data!AU17/AA$4*100000*AA$3</f>
        <v>0</v>
      </c>
      <c r="AB18" s="325">
        <f>Data!AV17/AB$4*100000*AB$3</f>
        <v>29359.029474368523</v>
      </c>
      <c r="AC18" s="325">
        <f>Data!AW17/AC$4*100000*AC$3</f>
        <v>28285.971168513672</v>
      </c>
      <c r="AD18" s="325">
        <f>Data!AX17/AD$4*100000*AD$3</f>
        <v>79443.141408791693</v>
      </c>
      <c r="AE18" s="325">
        <f>Data!AY17/AE$4*100000*AE$3</f>
        <v>93398.781664781403</v>
      </c>
      <c r="AF18" s="325">
        <f>Data!AZ17/AF$4*100000*AF$3</f>
        <v>123531.34951136488</v>
      </c>
      <c r="AG18" s="325">
        <f>Data!BA17/AG$4*100000*AG$3</f>
        <v>167711.95471777226</v>
      </c>
      <c r="AH18" s="325">
        <f>Data!BB17/AH$4*100000*AH$3</f>
        <v>152161.96796145232</v>
      </c>
      <c r="AI18" s="325">
        <f>Data!BC17/AI$4*100000*AI$3</f>
        <v>45540.796963946865</v>
      </c>
      <c r="AJ18" s="325">
        <f>Data!BD17/AJ$4*100000*AJ$3</f>
        <v>28128.26488788877</v>
      </c>
      <c r="AK18" s="325">
        <f>Data!BE17/AK$4*100000*AK$3</f>
        <v>32763.252735731607</v>
      </c>
      <c r="AL18" s="333" t="s">
        <v>353</v>
      </c>
      <c r="AM18" s="325">
        <f t="shared" si="3"/>
        <v>547687.47091601556</v>
      </c>
      <c r="AN18" s="325">
        <f>Data!AN17/AN$4*100000*AN$3</f>
        <v>0</v>
      </c>
      <c r="AO18" s="325">
        <f>Data!AO17/AO$4*100000*AO$3</f>
        <v>0</v>
      </c>
      <c r="AP18" s="325">
        <f>Data!AP17/AP$4*100000*AP$3</f>
        <v>0</v>
      </c>
      <c r="AQ18" s="325">
        <f>Data!AQ17/AQ$4*100000*AQ$3</f>
        <v>0</v>
      </c>
      <c r="AR18" s="325">
        <f>Data!AR17/AR$4*100000*AR$3</f>
        <v>0</v>
      </c>
      <c r="AS18" s="325">
        <f>Data!AS17/AS$4*100000*AS$3</f>
        <v>0</v>
      </c>
      <c r="AT18" s="325">
        <f>Data!AT17/AT$4*100000*AT$3</f>
        <v>0</v>
      </c>
      <c r="AU18" s="325">
        <f>Data!AU17/AU$4*100000*AU$3</f>
        <v>0</v>
      </c>
      <c r="AV18" s="325">
        <f>Data!AV17/AV$4*100000*AV$3</f>
        <v>25164.882406601591</v>
      </c>
      <c r="AW18" s="325">
        <f>Data!AW17/AW$4*100000*AW$3</f>
        <v>24245.11814444029</v>
      </c>
      <c r="AX18" s="325">
        <f>Data!AX17/AX$4*100000*AX$3</f>
        <v>56745.101006279787</v>
      </c>
      <c r="AY18" s="325">
        <f>Data!AY17/AY$4*100000*AY$3</f>
        <v>62265.8544431876</v>
      </c>
      <c r="AZ18" s="325">
        <f>Data!AZ17/AZ$4*100000*AZ$3</f>
        <v>98825.079609091903</v>
      </c>
      <c r="BA18" s="325">
        <f>Data!BA17/BA$4*100000*BA$3</f>
        <v>125783.96603832918</v>
      </c>
      <c r="BB18" s="325">
        <f>Data!BB17/BB$4*100000*BB$3</f>
        <v>101441.31197430154</v>
      </c>
      <c r="BC18" s="325">
        <f>Data!BC17/BC$4*100000*BC$3</f>
        <v>22770.398481973432</v>
      </c>
      <c r="BD18" s="325">
        <f>Data!BD17/BD$4*100000*BD$3</f>
        <v>14064.132443944385</v>
      </c>
      <c r="BE18" s="325">
        <f>Data!BE17/BE$4*100000*BE$3</f>
        <v>16381.626367865803</v>
      </c>
    </row>
    <row r="19" spans="1:57" ht="12" customHeight="1">
      <c r="A19" s="30"/>
      <c r="B19" s="145" t="str">
        <f>UPPER(LEFT(TRIM(Data!B18),1)) &amp; MID(TRIM(Data!B18),2,50)</f>
        <v>Plaučių, trachėjos, bronchų</v>
      </c>
      <c r="C19" s="145" t="str">
        <f>Data!C18</f>
        <v>C33, C34</v>
      </c>
      <c r="D19" s="146">
        <f>Data!E18</f>
        <v>1100</v>
      </c>
      <c r="E19" s="147">
        <f t="shared" si="5"/>
        <v>82.216435513912515</v>
      </c>
      <c r="F19" s="148">
        <f t="shared" si="6"/>
        <v>67.84055992441516</v>
      </c>
      <c r="G19" s="148">
        <f t="shared" si="7"/>
        <v>45.985620261756083</v>
      </c>
      <c r="H19" s="59"/>
      <c r="I19" s="59"/>
      <c r="J19" s="59"/>
      <c r="K19" s="59"/>
      <c r="L19" s="59"/>
      <c r="M19" s="59"/>
      <c r="N19" s="59"/>
      <c r="O19" s="59"/>
      <c r="P19" s="60"/>
      <c r="Q19" s="317"/>
      <c r="R19" s="333" t="s">
        <v>353</v>
      </c>
      <c r="S19" s="325">
        <f t="shared" si="2"/>
        <v>6784055.9924415154</v>
      </c>
      <c r="T19" s="325">
        <f>Data!AN18/T$4*100000*T$3</f>
        <v>0</v>
      </c>
      <c r="U19" s="325">
        <f>Data!AO18/U$4*100000*U$3</f>
        <v>0</v>
      </c>
      <c r="V19" s="325">
        <f>Data!AP18/V$4*100000*V$3</f>
        <v>0</v>
      </c>
      <c r="W19" s="325">
        <f>Data!AQ18/W$4*100000*W$3</f>
        <v>0</v>
      </c>
      <c r="X19" s="325">
        <f>Data!AR18/X$4*100000*X$3</f>
        <v>0</v>
      </c>
      <c r="Y19" s="325">
        <f>Data!AS18/Y$4*100000*Y$3</f>
        <v>0</v>
      </c>
      <c r="Z19" s="325">
        <f>Data!AT18/Z$4*100000*Z$3</f>
        <v>0</v>
      </c>
      <c r="AA19" s="325">
        <f>Data!AU18/AA$4*100000*AA$3</f>
        <v>16062.598239998164</v>
      </c>
      <c r="AB19" s="325">
        <f>Data!AV18/AB$4*100000*AB$3</f>
        <v>80737.33105451343</v>
      </c>
      <c r="AC19" s="325">
        <f>Data!AW18/AC$4*100000*AC$3</f>
        <v>134358.36305043995</v>
      </c>
      <c r="AD19" s="325">
        <f>Data!AX18/AD$4*100000*AD$3</f>
        <v>443557.5395324204</v>
      </c>
      <c r="AE19" s="325">
        <f>Data!AY18/AE$4*100000*AE$3</f>
        <v>828135.86409439507</v>
      </c>
      <c r="AF19" s="325">
        <f>Data!AZ18/AF$4*100000*AF$3</f>
        <v>1276490.6116174371</v>
      </c>
      <c r="AG19" s="325">
        <f>Data!BA18/AG$4*100000*AG$3</f>
        <v>1194947.6773641272</v>
      </c>
      <c r="AH19" s="325">
        <f>Data!BB18/AH$4*100000*AH$3</f>
        <v>1255336.2356819815</v>
      </c>
      <c r="AI19" s="325">
        <f>Data!BC18/AI$4*100000*AI$3</f>
        <v>764073.37128399755</v>
      </c>
      <c r="AJ19" s="325">
        <f>Data!BD18/AJ$4*100000*AJ$3</f>
        <v>429960.62042915699</v>
      </c>
      <c r="AK19" s="325">
        <f>Data!BE18/AK$4*100000*AK$3</f>
        <v>360395.78009304765</v>
      </c>
      <c r="AL19" s="333" t="s">
        <v>353</v>
      </c>
      <c r="AM19" s="325">
        <f t="shared" si="3"/>
        <v>4598562.0261756079</v>
      </c>
      <c r="AN19" s="325">
        <f>Data!AN18/AN$4*100000*AN$3</f>
        <v>0</v>
      </c>
      <c r="AO19" s="325">
        <f>Data!AO18/AO$4*100000*AO$3</f>
        <v>0</v>
      </c>
      <c r="AP19" s="325">
        <f>Data!AP18/AP$4*100000*AP$3</f>
        <v>0</v>
      </c>
      <c r="AQ19" s="325">
        <f>Data!AQ18/AQ$4*100000*AQ$3</f>
        <v>0</v>
      </c>
      <c r="AR19" s="325">
        <f>Data!AR18/AR$4*100000*AR$3</f>
        <v>0</v>
      </c>
      <c r="AS19" s="325">
        <f>Data!AS18/AS$4*100000*AS$3</f>
        <v>0</v>
      </c>
      <c r="AT19" s="325">
        <f>Data!AT18/AT$4*100000*AT$3</f>
        <v>0</v>
      </c>
      <c r="AU19" s="325">
        <f>Data!AU18/AU$4*100000*AU$3</f>
        <v>13767.941348569855</v>
      </c>
      <c r="AV19" s="325">
        <f>Data!AV18/AV$4*100000*AV$3</f>
        <v>69203.426618154379</v>
      </c>
      <c r="AW19" s="325">
        <f>Data!AW18/AW$4*100000*AW$3</f>
        <v>115164.31118609139</v>
      </c>
      <c r="AX19" s="325">
        <f>Data!AX18/AX$4*100000*AX$3</f>
        <v>316826.81395172887</v>
      </c>
      <c r="AY19" s="325">
        <f>Data!AY18/AY$4*100000*AY$3</f>
        <v>552090.57606293005</v>
      </c>
      <c r="AZ19" s="325">
        <f>Data!AZ18/AZ$4*100000*AZ$3</f>
        <v>1021192.4892939497</v>
      </c>
      <c r="BA19" s="325">
        <f>Data!BA18/BA$4*100000*BA$3</f>
        <v>896210.75802309543</v>
      </c>
      <c r="BB19" s="325">
        <f>Data!BB18/BB$4*100000*BB$3</f>
        <v>836890.8237879877</v>
      </c>
      <c r="BC19" s="325">
        <f>Data!BC18/BC$4*100000*BC$3</f>
        <v>382036.68564199877</v>
      </c>
      <c r="BD19" s="325">
        <f>Data!BD18/BD$4*100000*BD$3</f>
        <v>214980.31021457849</v>
      </c>
      <c r="BE19" s="325">
        <f>Data!BE18/BE$4*100000*BE$3</f>
        <v>180197.89004652383</v>
      </c>
    </row>
    <row r="20" spans="1:57" ht="12" customHeight="1">
      <c r="A20" s="30"/>
      <c r="B20" s="150" t="str">
        <f>UPPER(LEFT(TRIM(Data!B19),1)) &amp; MID(TRIM(Data!B19),2,50)</f>
        <v>Kitų kvėpavimo sistemos organų</v>
      </c>
      <c r="C20" s="129" t="str">
        <f>Data!C19</f>
        <v>C37-C39</v>
      </c>
      <c r="D20" s="142">
        <f>Data!E19</f>
        <v>14</v>
      </c>
      <c r="E20" s="131">
        <f t="shared" si="5"/>
        <v>1.0463909974497956</v>
      </c>
      <c r="F20" s="132">
        <f t="shared" si="6"/>
        <v>0.83521007833590366</v>
      </c>
      <c r="G20" s="133">
        <f t="shared" si="7"/>
        <v>0.56726573874855934</v>
      </c>
      <c r="H20" s="58"/>
      <c r="I20" s="58"/>
      <c r="J20" s="58"/>
      <c r="K20" s="58"/>
      <c r="L20" s="58"/>
      <c r="M20" s="58"/>
      <c r="N20" s="58"/>
      <c r="O20" s="58"/>
      <c r="P20" s="60"/>
      <c r="Q20" s="317"/>
      <c r="R20" s="333" t="s">
        <v>353</v>
      </c>
      <c r="S20" s="325">
        <f t="shared" si="2"/>
        <v>83521.007833590367</v>
      </c>
      <c r="T20" s="325">
        <f>Data!AN19/T$4*100000*T$3</f>
        <v>0</v>
      </c>
      <c r="U20" s="325">
        <f>Data!AO19/U$4*100000*U$3</f>
        <v>0</v>
      </c>
      <c r="V20" s="325">
        <f>Data!AP19/V$4*100000*V$3</f>
        <v>0</v>
      </c>
      <c r="W20" s="325">
        <f>Data!AQ19/W$4*100000*W$3</f>
        <v>0</v>
      </c>
      <c r="X20" s="325">
        <f>Data!AR19/X$4*100000*X$3</f>
        <v>0</v>
      </c>
      <c r="Y20" s="325">
        <f>Data!AS19/Y$4*100000*Y$3</f>
        <v>0</v>
      </c>
      <c r="Z20" s="325">
        <f>Data!AT19/Z$4*100000*Z$3</f>
        <v>0</v>
      </c>
      <c r="AA20" s="325">
        <f>Data!AU19/AA$4*100000*AA$3</f>
        <v>0</v>
      </c>
      <c r="AB20" s="325">
        <f>Data!AV19/AB$4*100000*AB$3</f>
        <v>0</v>
      </c>
      <c r="AC20" s="325">
        <f>Data!AW19/AC$4*100000*AC$3</f>
        <v>0</v>
      </c>
      <c r="AD20" s="325">
        <f>Data!AX19/AD$4*100000*AD$3</f>
        <v>0</v>
      </c>
      <c r="AE20" s="325">
        <f>Data!AY19/AE$4*100000*AE$3</f>
        <v>0</v>
      </c>
      <c r="AF20" s="325">
        <f>Data!AZ19/AF$4*100000*AF$3</f>
        <v>13725.705501262766</v>
      </c>
      <c r="AG20" s="325">
        <f>Data!BA19/AG$4*100000*AG$3</f>
        <v>34939.990566202549</v>
      </c>
      <c r="AH20" s="325">
        <f>Data!BB19/AH$4*100000*AH$3</f>
        <v>12680.163996787691</v>
      </c>
      <c r="AI20" s="325">
        <f>Data!BC19/AI$4*100000*AI$3</f>
        <v>10120.177103099306</v>
      </c>
      <c r="AJ20" s="325">
        <f>Data!BD19/AJ$4*100000*AJ$3</f>
        <v>12054.970666238045</v>
      </c>
      <c r="AK20" s="325">
        <f>Data!BE19/AK$4*100000*AK$3</f>
        <v>0</v>
      </c>
      <c r="AL20" s="333" t="s">
        <v>353</v>
      </c>
      <c r="AM20" s="325">
        <f t="shared" si="3"/>
        <v>56726.573874855931</v>
      </c>
      <c r="AN20" s="325">
        <f>Data!AN19/AN$4*100000*AN$3</f>
        <v>0</v>
      </c>
      <c r="AO20" s="325">
        <f>Data!AO19/AO$4*100000*AO$3</f>
        <v>0</v>
      </c>
      <c r="AP20" s="325">
        <f>Data!AP19/AP$4*100000*AP$3</f>
        <v>0</v>
      </c>
      <c r="AQ20" s="325">
        <f>Data!AQ19/AQ$4*100000*AQ$3</f>
        <v>0</v>
      </c>
      <c r="AR20" s="325">
        <f>Data!AR19/AR$4*100000*AR$3</f>
        <v>0</v>
      </c>
      <c r="AS20" s="325">
        <f>Data!AS19/AS$4*100000*AS$3</f>
        <v>0</v>
      </c>
      <c r="AT20" s="325">
        <f>Data!AT19/AT$4*100000*AT$3</f>
        <v>0</v>
      </c>
      <c r="AU20" s="325">
        <f>Data!AU19/AU$4*100000*AU$3</f>
        <v>0</v>
      </c>
      <c r="AV20" s="325">
        <f>Data!AV19/AV$4*100000*AV$3</f>
        <v>0</v>
      </c>
      <c r="AW20" s="325">
        <f>Data!AW19/AW$4*100000*AW$3</f>
        <v>0</v>
      </c>
      <c r="AX20" s="325">
        <f>Data!AX19/AX$4*100000*AX$3</f>
        <v>0</v>
      </c>
      <c r="AY20" s="325">
        <f>Data!AY19/AY$4*100000*AY$3</f>
        <v>0</v>
      </c>
      <c r="AZ20" s="325">
        <f>Data!AZ19/AZ$4*100000*AZ$3</f>
        <v>10980.564401010213</v>
      </c>
      <c r="BA20" s="325">
        <f>Data!BA19/BA$4*100000*BA$3</f>
        <v>26204.99292465191</v>
      </c>
      <c r="BB20" s="325">
        <f>Data!BB19/BB$4*100000*BB$3</f>
        <v>8453.4426645251278</v>
      </c>
      <c r="BC20" s="325">
        <f>Data!BC19/BC$4*100000*BC$3</f>
        <v>5060.0885515496529</v>
      </c>
      <c r="BD20" s="325">
        <f>Data!BD19/BD$4*100000*BD$3</f>
        <v>6027.4853331190225</v>
      </c>
      <c r="BE20" s="325">
        <f>Data!BE19/BE$4*100000*BE$3</f>
        <v>0</v>
      </c>
    </row>
    <row r="21" spans="1:57" ht="12" customHeight="1">
      <c r="A21" s="30"/>
      <c r="B21" s="145" t="str">
        <f>UPPER(LEFT(TRIM(Data!B20),1)) &amp; MID(TRIM(Data!B20),2,50)</f>
        <v>Kaulų ir jungiamojo audinio</v>
      </c>
      <c r="C21" s="145" t="str">
        <f>Data!C20</f>
        <v>C40-C41, C45-C47, C49</v>
      </c>
      <c r="D21" s="146">
        <f>Data!E20</f>
        <v>33</v>
      </c>
      <c r="E21" s="147">
        <f t="shared" si="5"/>
        <v>2.4664930654173753</v>
      </c>
      <c r="F21" s="148">
        <f t="shared" si="6"/>
        <v>2.2308067472990851</v>
      </c>
      <c r="G21" s="148">
        <f t="shared" si="7"/>
        <v>1.791825947136328</v>
      </c>
      <c r="H21" s="58"/>
      <c r="I21" s="58"/>
      <c r="J21" s="58"/>
      <c r="K21" s="58"/>
      <c r="L21" s="58"/>
      <c r="M21" s="58"/>
      <c r="N21" s="58"/>
      <c r="O21" s="58"/>
      <c r="P21" s="60"/>
      <c r="Q21" s="317"/>
      <c r="R21" s="333" t="s">
        <v>353</v>
      </c>
      <c r="S21" s="325">
        <f t="shared" si="2"/>
        <v>223080.67472990853</v>
      </c>
      <c r="T21" s="325">
        <f>Data!AN20/T$4*100000*T$3</f>
        <v>10334.448592577282</v>
      </c>
      <c r="U21" s="325">
        <f>Data!AO20/U$4*100000*U$3</f>
        <v>0</v>
      </c>
      <c r="V21" s="325">
        <f>Data!AP20/V$4*100000*V$3</f>
        <v>10167.620486302763</v>
      </c>
      <c r="W21" s="325">
        <f>Data!AQ20/W$4*100000*W$3</f>
        <v>0</v>
      </c>
      <c r="X21" s="325">
        <f>Data!AR20/X$4*100000*X$3</f>
        <v>0</v>
      </c>
      <c r="Y21" s="325">
        <f>Data!AS20/Y$4*100000*Y$3</f>
        <v>13934.369121438027</v>
      </c>
      <c r="Z21" s="325">
        <f>Data!AT20/Z$4*100000*Z$3</f>
        <v>15498.898471144374</v>
      </c>
      <c r="AA21" s="325">
        <f>Data!AU20/AA$4*100000*AA$3</f>
        <v>24093.897359997245</v>
      </c>
      <c r="AB21" s="325">
        <f>Data!AV20/AB$4*100000*AB$3</f>
        <v>7339.7573685921307</v>
      </c>
      <c r="AC21" s="325">
        <f>Data!AW20/AC$4*100000*AC$3</f>
        <v>14142.985584256836</v>
      </c>
      <c r="AD21" s="325">
        <f>Data!AX20/AD$4*100000*AD$3</f>
        <v>26481.047136263904</v>
      </c>
      <c r="AE21" s="325">
        <f>Data!AY20/AE$4*100000*AE$3</f>
        <v>24906.34177727504</v>
      </c>
      <c r="AF21" s="325">
        <f>Data!AZ20/AF$4*100000*AF$3</f>
        <v>6862.8527506313831</v>
      </c>
      <c r="AG21" s="325">
        <f>Data!BA20/AG$4*100000*AG$3</f>
        <v>13975.996226481018</v>
      </c>
      <c r="AH21" s="325">
        <f>Data!BB20/AH$4*100000*AH$3</f>
        <v>19020.24599518154</v>
      </c>
      <c r="AI21" s="325">
        <f>Data!BC20/AI$4*100000*AI$3</f>
        <v>15180.265654648958</v>
      </c>
      <c r="AJ21" s="325">
        <f>Data!BD20/AJ$4*100000*AJ$3</f>
        <v>8036.6471108253636</v>
      </c>
      <c r="AK21" s="325">
        <f>Data!BE20/AK$4*100000*AK$3</f>
        <v>13105.301094292641</v>
      </c>
      <c r="AL21" s="333" t="s">
        <v>353</v>
      </c>
      <c r="AM21" s="325">
        <f t="shared" si="3"/>
        <v>179182.5947136328</v>
      </c>
      <c r="AN21" s="325">
        <f>Data!AN20/AN$4*100000*AN$3</f>
        <v>15501.672888865922</v>
      </c>
      <c r="AO21" s="325">
        <f>Data!AO20/AO$4*100000*AO$3</f>
        <v>0</v>
      </c>
      <c r="AP21" s="325">
        <f>Data!AP20/AP$4*100000*AP$3</f>
        <v>13072.654910960697</v>
      </c>
      <c r="AQ21" s="325">
        <f>Data!AQ20/AQ$4*100000*AQ$3</f>
        <v>0</v>
      </c>
      <c r="AR21" s="325">
        <f>Data!AR20/AR$4*100000*AR$3</f>
        <v>0</v>
      </c>
      <c r="AS21" s="325">
        <f>Data!AS20/AS$4*100000*AS$3</f>
        <v>15924.993281643459</v>
      </c>
      <c r="AT21" s="325">
        <f>Data!AT20/AT$4*100000*AT$3</f>
        <v>13284.77011812375</v>
      </c>
      <c r="AU21" s="325">
        <f>Data!AU20/AU$4*100000*AU$3</f>
        <v>20651.91202285478</v>
      </c>
      <c r="AV21" s="325">
        <f>Data!AV20/AV$4*100000*AV$3</f>
        <v>6291.2206016503978</v>
      </c>
      <c r="AW21" s="325">
        <f>Data!AW20/AW$4*100000*AW$3</f>
        <v>12122.559072220145</v>
      </c>
      <c r="AX21" s="325">
        <f>Data!AX20/AX$4*100000*AX$3</f>
        <v>18915.03366875993</v>
      </c>
      <c r="AY21" s="325">
        <f>Data!AY20/AY$4*100000*AY$3</f>
        <v>16604.227851516694</v>
      </c>
      <c r="AZ21" s="325">
        <f>Data!AZ20/AZ$4*100000*AZ$3</f>
        <v>5490.2822005051066</v>
      </c>
      <c r="BA21" s="325">
        <f>Data!BA20/BA$4*100000*BA$3</f>
        <v>10481.997169860764</v>
      </c>
      <c r="BB21" s="325">
        <f>Data!BB20/BB$4*100000*BB$3</f>
        <v>12680.163996787693</v>
      </c>
      <c r="BC21" s="325">
        <f>Data!BC20/BC$4*100000*BC$3</f>
        <v>7590.132827324479</v>
      </c>
      <c r="BD21" s="325">
        <f>Data!BD20/BD$4*100000*BD$3</f>
        <v>4018.3235554126818</v>
      </c>
      <c r="BE21" s="325">
        <f>Data!BE20/BE$4*100000*BE$3</f>
        <v>6552.6505471463206</v>
      </c>
    </row>
    <row r="22" spans="1:57" ht="12" customHeight="1">
      <c r="A22" s="30"/>
      <c r="B22" s="150" t="str">
        <f>UPPER(LEFT(TRIM(Data!B21),1)) &amp; MID(TRIM(Data!B21),2,50)</f>
        <v>Odos melanoma</v>
      </c>
      <c r="C22" s="129" t="str">
        <f>Data!C21</f>
        <v>C43</v>
      </c>
      <c r="D22" s="142">
        <f>Data!E21</f>
        <v>49</v>
      </c>
      <c r="E22" s="131">
        <f t="shared" si="5"/>
        <v>3.6623684910742846</v>
      </c>
      <c r="F22" s="132">
        <f t="shared" si="6"/>
        <v>3.1084363684399996</v>
      </c>
      <c r="G22" s="133">
        <f t="shared" si="7"/>
        <v>2.1474806465393521</v>
      </c>
      <c r="H22" s="58"/>
      <c r="I22" s="58"/>
      <c r="J22" s="58"/>
      <c r="K22" s="58"/>
      <c r="L22" s="58"/>
      <c r="M22" s="58"/>
      <c r="N22" s="58"/>
      <c r="O22" s="58"/>
      <c r="P22" s="60"/>
      <c r="Q22" s="317"/>
      <c r="R22" s="333" t="s">
        <v>353</v>
      </c>
      <c r="S22" s="325">
        <f t="shared" si="2"/>
        <v>310843.63684399996</v>
      </c>
      <c r="T22" s="325">
        <f>Data!AN21/T$4*100000*T$3</f>
        <v>0</v>
      </c>
      <c r="U22" s="325">
        <f>Data!AO21/U$4*100000*U$3</f>
        <v>0</v>
      </c>
      <c r="V22" s="325">
        <f>Data!AP21/V$4*100000*V$3</f>
        <v>0</v>
      </c>
      <c r="W22" s="325">
        <f>Data!AQ21/W$4*100000*W$3</f>
        <v>0</v>
      </c>
      <c r="X22" s="325">
        <f>Data!AR21/X$4*100000*X$3</f>
        <v>0</v>
      </c>
      <c r="Y22" s="325">
        <f>Data!AS21/Y$4*100000*Y$3</f>
        <v>6967.1845607190135</v>
      </c>
      <c r="Z22" s="325">
        <f>Data!AT21/Z$4*100000*Z$3</f>
        <v>38747.246177860929</v>
      </c>
      <c r="AA22" s="325">
        <f>Data!AU21/AA$4*100000*AA$3</f>
        <v>0</v>
      </c>
      <c r="AB22" s="325">
        <f>Data!AV21/AB$4*100000*AB$3</f>
        <v>14679.514737184261</v>
      </c>
      <c r="AC22" s="325">
        <f>Data!AW21/AC$4*100000*AC$3</f>
        <v>7071.4927921284179</v>
      </c>
      <c r="AD22" s="325">
        <f>Data!AX21/AD$4*100000*AD$3</f>
        <v>39721.570704395846</v>
      </c>
      <c r="AE22" s="325">
        <f>Data!AY21/AE$4*100000*AE$3</f>
        <v>37359.512665912553</v>
      </c>
      <c r="AF22" s="325">
        <f>Data!AZ21/AF$4*100000*AF$3</f>
        <v>13725.705501262766</v>
      </c>
      <c r="AG22" s="325">
        <f>Data!BA21/AG$4*100000*AG$3</f>
        <v>27951.992452962037</v>
      </c>
      <c r="AH22" s="325">
        <f>Data!BB21/AH$4*100000*AH$3</f>
        <v>44380.573988756922</v>
      </c>
      <c r="AI22" s="325">
        <f>Data!BC21/AI$4*100000*AI$3</f>
        <v>35420.619860847568</v>
      </c>
      <c r="AJ22" s="325">
        <f>Data!BD21/AJ$4*100000*AJ$3</f>
        <v>12054.970666238045</v>
      </c>
      <c r="AK22" s="325">
        <f>Data!BE21/AK$4*100000*AK$3</f>
        <v>32763.252735731607</v>
      </c>
      <c r="AL22" s="333" t="s">
        <v>353</v>
      </c>
      <c r="AM22" s="325">
        <f t="shared" si="3"/>
        <v>214748.0646539352</v>
      </c>
      <c r="AN22" s="325">
        <f>Data!AN21/AN$4*100000*AN$3</f>
        <v>0</v>
      </c>
      <c r="AO22" s="325">
        <f>Data!AO21/AO$4*100000*AO$3</f>
        <v>0</v>
      </c>
      <c r="AP22" s="325">
        <f>Data!AP21/AP$4*100000*AP$3</f>
        <v>0</v>
      </c>
      <c r="AQ22" s="325">
        <f>Data!AQ21/AQ$4*100000*AQ$3</f>
        <v>0</v>
      </c>
      <c r="AR22" s="325">
        <f>Data!AR21/AR$4*100000*AR$3</f>
        <v>0</v>
      </c>
      <c r="AS22" s="325">
        <f>Data!AS21/AS$4*100000*AS$3</f>
        <v>7962.4966408217297</v>
      </c>
      <c r="AT22" s="325">
        <f>Data!AT21/AT$4*100000*AT$3</f>
        <v>33211.925295309367</v>
      </c>
      <c r="AU22" s="325">
        <f>Data!AU21/AU$4*100000*AU$3</f>
        <v>0</v>
      </c>
      <c r="AV22" s="325">
        <f>Data!AV21/AV$4*100000*AV$3</f>
        <v>12582.441203300796</v>
      </c>
      <c r="AW22" s="325">
        <f>Data!AW21/AW$4*100000*AW$3</f>
        <v>6061.2795361100725</v>
      </c>
      <c r="AX22" s="325">
        <f>Data!AX21/AX$4*100000*AX$3</f>
        <v>28372.550503139893</v>
      </c>
      <c r="AY22" s="325">
        <f>Data!AY21/AY$4*100000*AY$3</f>
        <v>24906.341777275036</v>
      </c>
      <c r="AZ22" s="325">
        <f>Data!AZ21/AZ$4*100000*AZ$3</f>
        <v>10980.564401010213</v>
      </c>
      <c r="BA22" s="325">
        <f>Data!BA21/BA$4*100000*BA$3</f>
        <v>20963.994339721528</v>
      </c>
      <c r="BB22" s="325">
        <f>Data!BB21/BB$4*100000*BB$3</f>
        <v>29587.049325837947</v>
      </c>
      <c r="BC22" s="325">
        <f>Data!BC21/BC$4*100000*BC$3</f>
        <v>17710.309930423784</v>
      </c>
      <c r="BD22" s="325">
        <f>Data!BD21/BD$4*100000*BD$3</f>
        <v>6027.4853331190225</v>
      </c>
      <c r="BE22" s="325">
        <f>Data!BE21/BE$4*100000*BE$3</f>
        <v>16381.626367865803</v>
      </c>
    </row>
    <row r="23" spans="1:57" ht="12" customHeight="1">
      <c r="A23" s="30"/>
      <c r="B23" s="145" t="str">
        <f>UPPER(LEFT(TRIM(Data!B22),1)) &amp; MID(TRIM(Data!B22),2,50)</f>
        <v>Kiti odos piktybiniai navikai</v>
      </c>
      <c r="C23" s="145" t="str">
        <f>Data!C22</f>
        <v>C44</v>
      </c>
      <c r="D23" s="146">
        <f>Data!E22</f>
        <v>22</v>
      </c>
      <c r="E23" s="147">
        <f t="shared" si="5"/>
        <v>1.6443287102782502</v>
      </c>
      <c r="F23" s="148">
        <f t="shared" si="6"/>
        <v>1.2819055714219885</v>
      </c>
      <c r="G23" s="148">
        <f t="shared" si="7"/>
        <v>0.80206400228693409</v>
      </c>
      <c r="H23" s="58"/>
      <c r="I23" s="58"/>
      <c r="J23" s="58"/>
      <c r="K23" s="58"/>
      <c r="L23" s="58"/>
      <c r="M23" s="58"/>
      <c r="N23" s="58"/>
      <c r="O23" s="58"/>
      <c r="P23" s="60"/>
      <c r="Q23" s="317"/>
      <c r="R23" s="333" t="s">
        <v>353</v>
      </c>
      <c r="S23" s="325">
        <f t="shared" si="2"/>
        <v>128190.55714219886</v>
      </c>
      <c r="T23" s="325">
        <f>Data!AN22/T$4*100000*T$3</f>
        <v>0</v>
      </c>
      <c r="U23" s="325">
        <f>Data!AO22/U$4*100000*U$3</f>
        <v>0</v>
      </c>
      <c r="V23" s="325">
        <f>Data!AP22/V$4*100000*V$3</f>
        <v>0</v>
      </c>
      <c r="W23" s="325">
        <f>Data!AQ22/W$4*100000*W$3</f>
        <v>0</v>
      </c>
      <c r="X23" s="325">
        <f>Data!AR22/X$4*100000*X$3</f>
        <v>0</v>
      </c>
      <c r="Y23" s="325">
        <f>Data!AS22/Y$4*100000*Y$3</f>
        <v>0</v>
      </c>
      <c r="Z23" s="325">
        <f>Data!AT22/Z$4*100000*Z$3</f>
        <v>0</v>
      </c>
      <c r="AA23" s="325">
        <f>Data!AU22/AA$4*100000*AA$3</f>
        <v>0</v>
      </c>
      <c r="AB23" s="325">
        <f>Data!AV22/AB$4*100000*AB$3</f>
        <v>0</v>
      </c>
      <c r="AC23" s="325">
        <f>Data!AW22/AC$4*100000*AC$3</f>
        <v>7071.4927921284179</v>
      </c>
      <c r="AD23" s="325">
        <f>Data!AX22/AD$4*100000*AD$3</f>
        <v>6620.2617840659759</v>
      </c>
      <c r="AE23" s="325">
        <f>Data!AY22/AE$4*100000*AE$3</f>
        <v>12453.17088863752</v>
      </c>
      <c r="AF23" s="325">
        <f>Data!AZ22/AF$4*100000*AF$3</f>
        <v>13725.705501262766</v>
      </c>
      <c r="AG23" s="325">
        <f>Data!BA22/AG$4*100000*AG$3</f>
        <v>6987.9981132405092</v>
      </c>
      <c r="AH23" s="325">
        <f>Data!BB22/AH$4*100000*AH$3</f>
        <v>25360.327993575382</v>
      </c>
      <c r="AI23" s="325">
        <f>Data!BC22/AI$4*100000*AI$3</f>
        <v>20240.354206198612</v>
      </c>
      <c r="AJ23" s="325">
        <f>Data!BD22/AJ$4*100000*AJ$3</f>
        <v>16073.294221650727</v>
      </c>
      <c r="AK23" s="325">
        <f>Data!BE22/AK$4*100000*AK$3</f>
        <v>19657.951641438962</v>
      </c>
      <c r="AL23" s="333" t="s">
        <v>353</v>
      </c>
      <c r="AM23" s="325">
        <f t="shared" si="3"/>
        <v>80206.400228693412</v>
      </c>
      <c r="AN23" s="325">
        <f>Data!AN22/AN$4*100000*AN$3</f>
        <v>0</v>
      </c>
      <c r="AO23" s="325">
        <f>Data!AO22/AO$4*100000*AO$3</f>
        <v>0</v>
      </c>
      <c r="AP23" s="325">
        <f>Data!AP22/AP$4*100000*AP$3</f>
        <v>0</v>
      </c>
      <c r="AQ23" s="325">
        <f>Data!AQ22/AQ$4*100000*AQ$3</f>
        <v>0</v>
      </c>
      <c r="AR23" s="325">
        <f>Data!AR22/AR$4*100000*AR$3</f>
        <v>0</v>
      </c>
      <c r="AS23" s="325">
        <f>Data!AS22/AS$4*100000*AS$3</f>
        <v>0</v>
      </c>
      <c r="AT23" s="325">
        <f>Data!AT22/AT$4*100000*AT$3</f>
        <v>0</v>
      </c>
      <c r="AU23" s="325">
        <f>Data!AU22/AU$4*100000*AU$3</f>
        <v>0</v>
      </c>
      <c r="AV23" s="325">
        <f>Data!AV22/AV$4*100000*AV$3</f>
        <v>0</v>
      </c>
      <c r="AW23" s="325">
        <f>Data!AW22/AW$4*100000*AW$3</f>
        <v>6061.2795361100725</v>
      </c>
      <c r="AX23" s="325">
        <f>Data!AX22/AX$4*100000*AX$3</f>
        <v>4728.7584171899825</v>
      </c>
      <c r="AY23" s="325">
        <f>Data!AY22/AY$4*100000*AY$3</f>
        <v>8302.1139257583472</v>
      </c>
      <c r="AZ23" s="325">
        <f>Data!AZ22/AZ$4*100000*AZ$3</f>
        <v>10980.564401010213</v>
      </c>
      <c r="BA23" s="325">
        <f>Data!BA22/BA$4*100000*BA$3</f>
        <v>5240.9985849303821</v>
      </c>
      <c r="BB23" s="325">
        <f>Data!BB22/BB$4*100000*BB$3</f>
        <v>16906.885329050256</v>
      </c>
      <c r="BC23" s="325">
        <f>Data!BC22/BC$4*100000*BC$3</f>
        <v>10120.177103099306</v>
      </c>
      <c r="BD23" s="325">
        <f>Data!BD22/BD$4*100000*BD$3</f>
        <v>8036.6471108253636</v>
      </c>
      <c r="BE23" s="325">
        <f>Data!BE22/BE$4*100000*BE$3</f>
        <v>9828.9758207194809</v>
      </c>
    </row>
    <row r="24" spans="1:57" ht="12" customHeight="1">
      <c r="A24" s="30"/>
      <c r="B24" s="150" t="str">
        <f>UPPER(LEFT(TRIM(Data!B23),1)) &amp; MID(TRIM(Data!B23),2,50)</f>
        <v>Krūties</v>
      </c>
      <c r="C24" s="129" t="str">
        <f>Data!C23</f>
        <v>C50</v>
      </c>
      <c r="D24" s="142">
        <f>Data!E23</f>
        <v>5</v>
      </c>
      <c r="E24" s="131">
        <f t="shared" si="5"/>
        <v>0.37371107051778418</v>
      </c>
      <c r="F24" s="132">
        <f t="shared" si="6"/>
        <v>0.32125522972980813</v>
      </c>
      <c r="G24" s="133">
        <f t="shared" si="7"/>
        <v>0.22653380609019874</v>
      </c>
      <c r="H24" s="58"/>
      <c r="I24" s="58"/>
      <c r="J24" s="58"/>
      <c r="K24" s="58"/>
      <c r="L24" s="58"/>
      <c r="M24" s="58"/>
      <c r="N24" s="58"/>
      <c r="O24" s="58"/>
      <c r="P24" s="60"/>
      <c r="Q24" s="317"/>
      <c r="R24" s="333" t="s">
        <v>353</v>
      </c>
      <c r="S24" s="325">
        <f t="shared" si="2"/>
        <v>32125.522972980816</v>
      </c>
      <c r="T24" s="325">
        <f>Data!AN23/T$4*100000*T$3</f>
        <v>0</v>
      </c>
      <c r="U24" s="325">
        <f>Data!AO23/U$4*100000*U$3</f>
        <v>0</v>
      </c>
      <c r="V24" s="325">
        <f>Data!AP23/V$4*100000*V$3</f>
        <v>0</v>
      </c>
      <c r="W24" s="325">
        <f>Data!AQ23/W$4*100000*W$3</f>
        <v>0</v>
      </c>
      <c r="X24" s="325">
        <f>Data!AR23/X$4*100000*X$3</f>
        <v>0</v>
      </c>
      <c r="Y24" s="325">
        <f>Data!AS23/Y$4*100000*Y$3</f>
        <v>0</v>
      </c>
      <c r="Z24" s="325">
        <f>Data!AT23/Z$4*100000*Z$3</f>
        <v>0</v>
      </c>
      <c r="AA24" s="325">
        <f>Data!AU23/AA$4*100000*AA$3</f>
        <v>0</v>
      </c>
      <c r="AB24" s="325">
        <f>Data!AV23/AB$4*100000*AB$3</f>
        <v>0</v>
      </c>
      <c r="AC24" s="325">
        <f>Data!AW23/AC$4*100000*AC$3</f>
        <v>0</v>
      </c>
      <c r="AD24" s="325">
        <f>Data!AX23/AD$4*100000*AD$3</f>
        <v>0</v>
      </c>
      <c r="AE24" s="325">
        <f>Data!AY23/AE$4*100000*AE$3</f>
        <v>6226.58544431876</v>
      </c>
      <c r="AF24" s="325">
        <f>Data!AZ23/AF$4*100000*AF$3</f>
        <v>6862.8527506313831</v>
      </c>
      <c r="AG24" s="325">
        <f>Data!BA23/AG$4*100000*AG$3</f>
        <v>13975.996226481018</v>
      </c>
      <c r="AH24" s="325">
        <f>Data!BB23/AH$4*100000*AH$3</f>
        <v>0</v>
      </c>
      <c r="AI24" s="325">
        <f>Data!BC23/AI$4*100000*AI$3</f>
        <v>5060.0885515496529</v>
      </c>
      <c r="AJ24" s="325">
        <f>Data!BD23/AJ$4*100000*AJ$3</f>
        <v>0</v>
      </c>
      <c r="AK24" s="325">
        <f>Data!BE23/AK$4*100000*AK$3</f>
        <v>0</v>
      </c>
      <c r="AL24" s="333" t="s">
        <v>353</v>
      </c>
      <c r="AM24" s="325">
        <f t="shared" si="3"/>
        <v>22653.380609019874</v>
      </c>
      <c r="AN24" s="325">
        <f>Data!AN23/AN$4*100000*AN$3</f>
        <v>0</v>
      </c>
      <c r="AO24" s="325">
        <f>Data!AO23/AO$4*100000*AO$3</f>
        <v>0</v>
      </c>
      <c r="AP24" s="325">
        <f>Data!AP23/AP$4*100000*AP$3</f>
        <v>0</v>
      </c>
      <c r="AQ24" s="325">
        <f>Data!AQ23/AQ$4*100000*AQ$3</f>
        <v>0</v>
      </c>
      <c r="AR24" s="325">
        <f>Data!AR23/AR$4*100000*AR$3</f>
        <v>0</v>
      </c>
      <c r="AS24" s="325">
        <f>Data!AS23/AS$4*100000*AS$3</f>
        <v>0</v>
      </c>
      <c r="AT24" s="325">
        <f>Data!AT23/AT$4*100000*AT$3</f>
        <v>0</v>
      </c>
      <c r="AU24" s="325">
        <f>Data!AU23/AU$4*100000*AU$3</f>
        <v>0</v>
      </c>
      <c r="AV24" s="325">
        <f>Data!AV23/AV$4*100000*AV$3</f>
        <v>0</v>
      </c>
      <c r="AW24" s="325">
        <f>Data!AW23/AW$4*100000*AW$3</f>
        <v>0</v>
      </c>
      <c r="AX24" s="325">
        <f>Data!AX23/AX$4*100000*AX$3</f>
        <v>0</v>
      </c>
      <c r="AY24" s="325">
        <f>Data!AY23/AY$4*100000*AY$3</f>
        <v>4151.0569628791736</v>
      </c>
      <c r="AZ24" s="325">
        <f>Data!AZ23/AZ$4*100000*AZ$3</f>
        <v>5490.2822005051066</v>
      </c>
      <c r="BA24" s="325">
        <f>Data!BA23/BA$4*100000*BA$3</f>
        <v>10481.997169860764</v>
      </c>
      <c r="BB24" s="325">
        <f>Data!BB23/BB$4*100000*BB$3</f>
        <v>0</v>
      </c>
      <c r="BC24" s="325">
        <f>Data!BC23/BC$4*100000*BC$3</f>
        <v>2530.0442757748265</v>
      </c>
      <c r="BD24" s="325">
        <f>Data!BD23/BD$4*100000*BD$3</f>
        <v>0</v>
      </c>
      <c r="BE24" s="325">
        <f>Data!BE23/BE$4*100000*BE$3</f>
        <v>0</v>
      </c>
    </row>
    <row r="25" spans="1:57" ht="12" customHeight="1">
      <c r="A25" s="30"/>
      <c r="B25" s="145" t="str">
        <f>UPPER(LEFT(TRIM(Data!B28),1)) &amp; MID(TRIM(Data!B28),2,50)</f>
        <v>Priešinės liaukos</v>
      </c>
      <c r="C25" s="145" t="str">
        <f>Data!C28</f>
        <v>C61</v>
      </c>
      <c r="D25" s="146">
        <f>Data!E28</f>
        <v>544</v>
      </c>
      <c r="E25" s="147">
        <f t="shared" si="5"/>
        <v>40.659764472334913</v>
      </c>
      <c r="F25" s="148">
        <f t="shared" si="6"/>
        <v>30.944340003335054</v>
      </c>
      <c r="G25" s="148">
        <f t="shared" si="7"/>
        <v>18.315393034876148</v>
      </c>
      <c r="H25" s="58"/>
      <c r="I25" s="58"/>
      <c r="J25" s="58"/>
      <c r="K25" s="58"/>
      <c r="L25" s="58"/>
      <c r="M25" s="58"/>
      <c r="N25" s="58"/>
      <c r="O25" s="58"/>
      <c r="P25" s="58"/>
      <c r="Q25" s="317"/>
      <c r="R25" s="333" t="s">
        <v>353</v>
      </c>
      <c r="S25" s="325">
        <f t="shared" si="2"/>
        <v>3094434.0003335052</v>
      </c>
      <c r="T25" s="325">
        <f>Data!AN28/T$4*100000*T$3</f>
        <v>0</v>
      </c>
      <c r="U25" s="325">
        <f>Data!AO28/U$4*100000*U$3</f>
        <v>0</v>
      </c>
      <c r="V25" s="325">
        <f>Data!AP28/V$4*100000*V$3</f>
        <v>0</v>
      </c>
      <c r="W25" s="325">
        <f>Data!AQ28/W$4*100000*W$3</f>
        <v>0</v>
      </c>
      <c r="X25" s="325">
        <f>Data!AR28/X$4*100000*X$3</f>
        <v>0</v>
      </c>
      <c r="Y25" s="325">
        <f>Data!AS28/Y$4*100000*Y$3</f>
        <v>0</v>
      </c>
      <c r="Z25" s="325">
        <f>Data!AT28/Z$4*100000*Z$3</f>
        <v>0</v>
      </c>
      <c r="AA25" s="325">
        <f>Data!AU28/AA$4*100000*AA$3</f>
        <v>0</v>
      </c>
      <c r="AB25" s="325">
        <f>Data!AV28/AB$4*100000*AB$3</f>
        <v>0</v>
      </c>
      <c r="AC25" s="325">
        <f>Data!AW28/AC$4*100000*AC$3</f>
        <v>14142.985584256836</v>
      </c>
      <c r="AD25" s="325">
        <f>Data!AX28/AD$4*100000*AD$3</f>
        <v>33101.30892032988</v>
      </c>
      <c r="AE25" s="325">
        <f>Data!AY28/AE$4*100000*AE$3</f>
        <v>74719.025331825105</v>
      </c>
      <c r="AF25" s="325">
        <f>Data!AZ28/AF$4*100000*AF$3</f>
        <v>192159.87701767872</v>
      </c>
      <c r="AG25" s="325">
        <f>Data!BA28/AG$4*100000*AG$3</f>
        <v>398315.89245470904</v>
      </c>
      <c r="AH25" s="325">
        <f>Data!BB28/AH$4*100000*AH$3</f>
        <v>614987.95384420315</v>
      </c>
      <c r="AI25" s="325">
        <f>Data!BC28/AI$4*100000*AI$3</f>
        <v>632511.06894370646</v>
      </c>
      <c r="AJ25" s="325">
        <f>Data!BD28/AJ$4*100000*AJ$3</f>
        <v>466125.53242787113</v>
      </c>
      <c r="AK25" s="325">
        <f>Data!BE28/AK$4*100000*AK$3</f>
        <v>668370.35580892477</v>
      </c>
      <c r="AL25" s="333" t="s">
        <v>353</v>
      </c>
      <c r="AM25" s="325">
        <f t="shared" si="3"/>
        <v>1831539.303487615</v>
      </c>
      <c r="AN25" s="325">
        <f>Data!AN28/AN$4*100000*AN$3</f>
        <v>0</v>
      </c>
      <c r="AO25" s="325">
        <f>Data!AO28/AO$4*100000*AO$3</f>
        <v>0</v>
      </c>
      <c r="AP25" s="325">
        <f>Data!AP28/AP$4*100000*AP$3</f>
        <v>0</v>
      </c>
      <c r="AQ25" s="325">
        <f>Data!AQ28/AQ$4*100000*AQ$3</f>
        <v>0</v>
      </c>
      <c r="AR25" s="325">
        <f>Data!AR28/AR$4*100000*AR$3</f>
        <v>0</v>
      </c>
      <c r="AS25" s="325">
        <f>Data!AS28/AS$4*100000*AS$3</f>
        <v>0</v>
      </c>
      <c r="AT25" s="325">
        <f>Data!AT28/AT$4*100000*AT$3</f>
        <v>0</v>
      </c>
      <c r="AU25" s="325">
        <f>Data!AU28/AU$4*100000*AU$3</f>
        <v>0</v>
      </c>
      <c r="AV25" s="325">
        <f>Data!AV28/AV$4*100000*AV$3</f>
        <v>0</v>
      </c>
      <c r="AW25" s="325">
        <f>Data!AW28/AW$4*100000*AW$3</f>
        <v>12122.559072220145</v>
      </c>
      <c r="AX25" s="325">
        <f>Data!AX28/AX$4*100000*AX$3</f>
        <v>23643.792085949914</v>
      </c>
      <c r="AY25" s="325">
        <f>Data!AY28/AY$4*100000*AY$3</f>
        <v>49812.683554550073</v>
      </c>
      <c r="AZ25" s="325">
        <f>Data!AZ28/AZ$4*100000*AZ$3</f>
        <v>153727.90161414299</v>
      </c>
      <c r="BA25" s="325">
        <f>Data!BA28/BA$4*100000*BA$3</f>
        <v>298736.91934103181</v>
      </c>
      <c r="BB25" s="325">
        <f>Data!BB28/BB$4*100000*BB$3</f>
        <v>409991.96922946873</v>
      </c>
      <c r="BC25" s="325">
        <f>Data!BC28/BC$4*100000*BC$3</f>
        <v>316255.53447185323</v>
      </c>
      <c r="BD25" s="325">
        <f>Data!BD28/BD$4*100000*BD$3</f>
        <v>233062.76621393557</v>
      </c>
      <c r="BE25" s="325">
        <f>Data!BE28/BE$4*100000*BE$3</f>
        <v>334185.17790446238</v>
      </c>
    </row>
    <row r="26" spans="1:57" ht="12" customHeight="1">
      <c r="A26" s="30"/>
      <c r="B26" s="150" t="str">
        <f>UPPER(LEFT(TRIM(Data!B29),1)) &amp; MID(TRIM(Data!B29),2,50)</f>
        <v>Sėklidžių</v>
      </c>
      <c r="C26" s="129" t="str">
        <f>Data!C29</f>
        <v>C62</v>
      </c>
      <c r="D26" s="142">
        <f>Data!E29</f>
        <v>6</v>
      </c>
      <c r="E26" s="131">
        <f t="shared" si="5"/>
        <v>0.44845328462134099</v>
      </c>
      <c r="F26" s="132">
        <f t="shared" si="6"/>
        <v>0.42264325248520807</v>
      </c>
      <c r="G26" s="133">
        <f t="shared" si="7"/>
        <v>0.41634024508913736</v>
      </c>
      <c r="H26" s="58"/>
      <c r="I26" s="58"/>
      <c r="J26" s="58"/>
      <c r="K26" s="58"/>
      <c r="L26" s="58"/>
      <c r="M26" s="58"/>
      <c r="N26" s="58"/>
      <c r="O26" s="58"/>
      <c r="P26" s="58"/>
      <c r="Q26" s="317"/>
      <c r="R26" s="333" t="s">
        <v>353</v>
      </c>
      <c r="S26" s="325">
        <f t="shared" si="2"/>
        <v>42264.325248520807</v>
      </c>
      <c r="T26" s="325">
        <f>Data!AN29/T$4*100000*T$3</f>
        <v>0</v>
      </c>
      <c r="U26" s="325">
        <f>Data!AO29/U$4*100000*U$3</f>
        <v>0</v>
      </c>
      <c r="V26" s="325">
        <f>Data!AP29/V$4*100000*V$3</f>
        <v>0</v>
      </c>
      <c r="W26" s="325">
        <f>Data!AQ29/W$4*100000*W$3</f>
        <v>0</v>
      </c>
      <c r="X26" s="325">
        <f>Data!AR29/X$4*100000*X$3</f>
        <v>20298.680585761926</v>
      </c>
      <c r="Y26" s="325">
        <f>Data!AS29/Y$4*100000*Y$3</f>
        <v>0</v>
      </c>
      <c r="Z26" s="325">
        <f>Data!AT29/Z$4*100000*Z$3</f>
        <v>0</v>
      </c>
      <c r="AA26" s="325">
        <f>Data!AU29/AA$4*100000*AA$3</f>
        <v>8031.299119999082</v>
      </c>
      <c r="AB26" s="325">
        <f>Data!AV29/AB$4*100000*AB$3</f>
        <v>0</v>
      </c>
      <c r="AC26" s="325">
        <f>Data!AW29/AC$4*100000*AC$3</f>
        <v>7071.4927921284179</v>
      </c>
      <c r="AD26" s="325">
        <f>Data!AX29/AD$4*100000*AD$3</f>
        <v>0</v>
      </c>
      <c r="AE26" s="325">
        <f>Data!AY29/AE$4*100000*AE$3</f>
        <v>0</v>
      </c>
      <c r="AF26" s="325">
        <f>Data!AZ29/AF$4*100000*AF$3</f>
        <v>6862.8527506313831</v>
      </c>
      <c r="AG26" s="325">
        <f>Data!BA29/AG$4*100000*AG$3</f>
        <v>0</v>
      </c>
      <c r="AH26" s="325">
        <f>Data!BB29/AH$4*100000*AH$3</f>
        <v>0</v>
      </c>
      <c r="AI26" s="325">
        <f>Data!BC29/AI$4*100000*AI$3</f>
        <v>0</v>
      </c>
      <c r="AJ26" s="325">
        <f>Data!BD29/AJ$4*100000*AJ$3</f>
        <v>0</v>
      </c>
      <c r="AK26" s="325">
        <f>Data!BE29/AK$4*100000*AK$3</f>
        <v>0</v>
      </c>
      <c r="AL26" s="333" t="s">
        <v>353</v>
      </c>
      <c r="AM26" s="325">
        <f t="shared" si="3"/>
        <v>41634.024508913739</v>
      </c>
      <c r="AN26" s="325">
        <f>Data!AN29/AN$4*100000*AN$3</f>
        <v>0</v>
      </c>
      <c r="AO26" s="325">
        <f>Data!AO29/AO$4*100000*AO$3</f>
        <v>0</v>
      </c>
      <c r="AP26" s="325">
        <f>Data!AP29/AP$4*100000*AP$3</f>
        <v>0</v>
      </c>
      <c r="AQ26" s="325">
        <f>Data!AQ29/AQ$4*100000*AQ$3</f>
        <v>0</v>
      </c>
      <c r="AR26" s="325">
        <f>Data!AR29/AR$4*100000*AR$3</f>
        <v>23198.49209801363</v>
      </c>
      <c r="AS26" s="325">
        <f>Data!AS29/AS$4*100000*AS$3</f>
        <v>0</v>
      </c>
      <c r="AT26" s="325">
        <f>Data!AT29/AT$4*100000*AT$3</f>
        <v>0</v>
      </c>
      <c r="AU26" s="325">
        <f>Data!AU29/AU$4*100000*AU$3</f>
        <v>6883.9706742849276</v>
      </c>
      <c r="AV26" s="325">
        <f>Data!AV29/AV$4*100000*AV$3</f>
        <v>0</v>
      </c>
      <c r="AW26" s="325">
        <f>Data!AW29/AW$4*100000*AW$3</f>
        <v>6061.2795361100725</v>
      </c>
      <c r="AX26" s="325">
        <f>Data!AX29/AX$4*100000*AX$3</f>
        <v>0</v>
      </c>
      <c r="AY26" s="325">
        <f>Data!AY29/AY$4*100000*AY$3</f>
        <v>0</v>
      </c>
      <c r="AZ26" s="325">
        <f>Data!AZ29/AZ$4*100000*AZ$3</f>
        <v>5490.2822005051066</v>
      </c>
      <c r="BA26" s="325">
        <f>Data!BA29/BA$4*100000*BA$3</f>
        <v>0</v>
      </c>
      <c r="BB26" s="325">
        <f>Data!BB29/BB$4*100000*BB$3</f>
        <v>0</v>
      </c>
      <c r="BC26" s="325">
        <f>Data!BC29/BC$4*100000*BC$3</f>
        <v>0</v>
      </c>
      <c r="BD26" s="325">
        <f>Data!BD29/BD$4*100000*BD$3</f>
        <v>0</v>
      </c>
      <c r="BE26" s="325">
        <f>Data!BE29/BE$4*100000*BE$3</f>
        <v>0</v>
      </c>
    </row>
    <row r="27" spans="1:57" ht="12" customHeight="1">
      <c r="A27" s="30"/>
      <c r="B27" s="145" t="str">
        <f>UPPER(LEFT(TRIM(Data!B30),1)) &amp; MID(TRIM(Data!B30),2,50)</f>
        <v>Kitų lyties organų</v>
      </c>
      <c r="C27" s="145" t="s">
        <v>417</v>
      </c>
      <c r="D27" s="146">
        <f>Data!E30</f>
        <v>9</v>
      </c>
      <c r="E27" s="147">
        <f t="shared" si="5"/>
        <v>0.67267992693201151</v>
      </c>
      <c r="F27" s="148">
        <f t="shared" si="6"/>
        <v>0.55281365585988218</v>
      </c>
      <c r="G27" s="148">
        <f t="shared" si="7"/>
        <v>0.39424609991313897</v>
      </c>
      <c r="H27" s="58"/>
      <c r="I27" s="58"/>
      <c r="J27" s="58"/>
      <c r="K27" s="58"/>
      <c r="L27" s="58"/>
      <c r="M27" s="58"/>
      <c r="N27" s="58"/>
      <c r="O27" s="58"/>
      <c r="P27" s="58"/>
      <c r="Q27" s="317"/>
      <c r="R27" s="333" t="s">
        <v>353</v>
      </c>
      <c r="S27" s="325">
        <f t="shared" si="2"/>
        <v>55281.36558598822</v>
      </c>
      <c r="T27" s="325">
        <f>Data!AN30/T$4*100000*T$3</f>
        <v>0</v>
      </c>
      <c r="U27" s="325">
        <f>Data!AO30/U$4*100000*U$3</f>
        <v>0</v>
      </c>
      <c r="V27" s="325">
        <f>Data!AP30/V$4*100000*V$3</f>
        <v>0</v>
      </c>
      <c r="W27" s="325">
        <f>Data!AQ30/W$4*100000*W$3</f>
        <v>0</v>
      </c>
      <c r="X27" s="325">
        <f>Data!AR30/X$4*100000*X$3</f>
        <v>0</v>
      </c>
      <c r="Y27" s="325">
        <f>Data!AS30/Y$4*100000*Y$3</f>
        <v>0</v>
      </c>
      <c r="Z27" s="325">
        <f>Data!AT30/Z$4*100000*Z$3</f>
        <v>0</v>
      </c>
      <c r="AA27" s="325">
        <f>Data!AU30/AA$4*100000*AA$3</f>
        <v>0</v>
      </c>
      <c r="AB27" s="325">
        <f>Data!AV30/AB$4*100000*AB$3</f>
        <v>0</v>
      </c>
      <c r="AC27" s="325">
        <f>Data!AW30/AC$4*100000*AC$3</f>
        <v>0</v>
      </c>
      <c r="AD27" s="325">
        <f>Data!AX30/AD$4*100000*AD$3</f>
        <v>0</v>
      </c>
      <c r="AE27" s="325">
        <f>Data!AY30/AE$4*100000*AE$3</f>
        <v>0</v>
      </c>
      <c r="AF27" s="325">
        <f>Data!AZ30/AF$4*100000*AF$3</f>
        <v>20588.558251894148</v>
      </c>
      <c r="AG27" s="325">
        <f>Data!BA30/AG$4*100000*AG$3</f>
        <v>13975.996226481018</v>
      </c>
      <c r="AH27" s="325">
        <f>Data!BB30/AH$4*100000*AH$3</f>
        <v>12680.163996787691</v>
      </c>
      <c r="AI27" s="325">
        <f>Data!BC30/AI$4*100000*AI$3</f>
        <v>0</v>
      </c>
      <c r="AJ27" s="325">
        <f>Data!BD30/AJ$4*100000*AJ$3</f>
        <v>8036.6471108253636</v>
      </c>
      <c r="AK27" s="325">
        <f>Data!BE30/AK$4*100000*AK$3</f>
        <v>0</v>
      </c>
      <c r="AL27" s="333" t="s">
        <v>353</v>
      </c>
      <c r="AM27" s="325">
        <f t="shared" si="3"/>
        <v>39424.609991313897</v>
      </c>
      <c r="AN27" s="325">
        <f>Data!AN30/AN$4*100000*AN$3</f>
        <v>0</v>
      </c>
      <c r="AO27" s="325">
        <f>Data!AO30/AO$4*100000*AO$3</f>
        <v>0</v>
      </c>
      <c r="AP27" s="325">
        <f>Data!AP30/AP$4*100000*AP$3</f>
        <v>0</v>
      </c>
      <c r="AQ27" s="325">
        <f>Data!AQ30/AQ$4*100000*AQ$3</f>
        <v>0</v>
      </c>
      <c r="AR27" s="325">
        <f>Data!AR30/AR$4*100000*AR$3</f>
        <v>0</v>
      </c>
      <c r="AS27" s="325">
        <f>Data!AS30/AS$4*100000*AS$3</f>
        <v>0</v>
      </c>
      <c r="AT27" s="325">
        <f>Data!AT30/AT$4*100000*AT$3</f>
        <v>0</v>
      </c>
      <c r="AU27" s="325">
        <f>Data!AU30/AU$4*100000*AU$3</f>
        <v>0</v>
      </c>
      <c r="AV27" s="325">
        <f>Data!AV30/AV$4*100000*AV$3</f>
        <v>0</v>
      </c>
      <c r="AW27" s="325">
        <f>Data!AW30/AW$4*100000*AW$3</f>
        <v>0</v>
      </c>
      <c r="AX27" s="325">
        <f>Data!AX30/AX$4*100000*AX$3</f>
        <v>0</v>
      </c>
      <c r="AY27" s="325">
        <f>Data!AY30/AY$4*100000*AY$3</f>
        <v>0</v>
      </c>
      <c r="AZ27" s="325">
        <f>Data!AZ30/AZ$4*100000*AZ$3</f>
        <v>16470.846601515321</v>
      </c>
      <c r="BA27" s="325">
        <f>Data!BA30/BA$4*100000*BA$3</f>
        <v>10481.997169860764</v>
      </c>
      <c r="BB27" s="325">
        <f>Data!BB30/BB$4*100000*BB$3</f>
        <v>8453.4426645251278</v>
      </c>
      <c r="BC27" s="325">
        <f>Data!BC30/BC$4*100000*BC$3</f>
        <v>0</v>
      </c>
      <c r="BD27" s="325">
        <f>Data!BD30/BD$4*100000*BD$3</f>
        <v>4018.3235554126818</v>
      </c>
      <c r="BE27" s="325">
        <f>Data!BE30/BE$4*100000*BE$3</f>
        <v>0</v>
      </c>
    </row>
    <row r="28" spans="1:57" ht="12" customHeight="1">
      <c r="A28" s="30"/>
      <c r="B28" s="150" t="str">
        <f>UPPER(LEFT(TRIM(Data!B31),1)) &amp; MID(TRIM(Data!B31),2,50)</f>
        <v>Inkstų</v>
      </c>
      <c r="C28" s="129" t="str">
        <f>Data!C31</f>
        <v>C64</v>
      </c>
      <c r="D28" s="142">
        <f>Data!E31</f>
        <v>183</v>
      </c>
      <c r="E28" s="131">
        <f t="shared" si="5"/>
        <v>13.677825180950901</v>
      </c>
      <c r="F28" s="132">
        <f t="shared" si="6"/>
        <v>11.297012042052499</v>
      </c>
      <c r="G28" s="133">
        <f t="shared" si="7"/>
        <v>7.623966718267833</v>
      </c>
      <c r="H28" s="58"/>
      <c r="I28" s="58"/>
      <c r="J28" s="58"/>
      <c r="K28" s="58"/>
      <c r="L28" s="58"/>
      <c r="M28" s="58"/>
      <c r="N28" s="58"/>
      <c r="O28" s="58"/>
      <c r="P28" s="58"/>
      <c r="Q28" s="317"/>
      <c r="R28" s="333" t="s">
        <v>353</v>
      </c>
      <c r="S28" s="325">
        <f t="shared" si="2"/>
        <v>1129701.2042052499</v>
      </c>
      <c r="T28" s="325">
        <f>Data!AN31/T$4*100000*T$3</f>
        <v>0</v>
      </c>
      <c r="U28" s="325">
        <f>Data!AO31/U$4*100000*U$3</f>
        <v>0</v>
      </c>
      <c r="V28" s="325">
        <f>Data!AP31/V$4*100000*V$3</f>
        <v>0</v>
      </c>
      <c r="W28" s="325">
        <f>Data!AQ31/W$4*100000*W$3</f>
        <v>8192.1168429922291</v>
      </c>
      <c r="X28" s="325">
        <f>Data!AR31/X$4*100000*X$3</f>
        <v>0</v>
      </c>
      <c r="Y28" s="325">
        <f>Data!AS31/Y$4*100000*Y$3</f>
        <v>0</v>
      </c>
      <c r="Z28" s="325">
        <f>Data!AT31/Z$4*100000*Z$3</f>
        <v>0</v>
      </c>
      <c r="AA28" s="325">
        <f>Data!AU31/AA$4*100000*AA$3</f>
        <v>8031.299119999082</v>
      </c>
      <c r="AB28" s="325">
        <f>Data!AV31/AB$4*100000*AB$3</f>
        <v>0</v>
      </c>
      <c r="AC28" s="325">
        <f>Data!AW31/AC$4*100000*AC$3</f>
        <v>28285.971168513672</v>
      </c>
      <c r="AD28" s="325">
        <f>Data!AX31/AD$4*100000*AD$3</f>
        <v>112544.45032912158</v>
      </c>
      <c r="AE28" s="325">
        <f>Data!AY31/AE$4*100000*AE$3</f>
        <v>87172.196220462632</v>
      </c>
      <c r="AF28" s="325">
        <f>Data!AZ31/AF$4*100000*AF$3</f>
        <v>205885.58251894149</v>
      </c>
      <c r="AG28" s="325">
        <f>Data!BA31/AG$4*100000*AG$3</f>
        <v>230603.93773693682</v>
      </c>
      <c r="AH28" s="325">
        <f>Data!BB31/AH$4*100000*AH$3</f>
        <v>120461.55796948308</v>
      </c>
      <c r="AI28" s="325">
        <f>Data!BC31/AI$4*100000*AI$3</f>
        <v>161922.83364958889</v>
      </c>
      <c r="AJ28" s="325">
        <f>Data!BD31/AJ$4*100000*AJ$3</f>
        <v>68311.500442015604</v>
      </c>
      <c r="AK28" s="325">
        <f>Data!BE31/AK$4*100000*AK$3</f>
        <v>98289.758207194813</v>
      </c>
      <c r="AL28" s="333" t="s">
        <v>353</v>
      </c>
      <c r="AM28" s="325">
        <f t="shared" si="3"/>
        <v>762396.67182678333</v>
      </c>
      <c r="AN28" s="325">
        <f>Data!AN31/AN$4*100000*AN$3</f>
        <v>0</v>
      </c>
      <c r="AO28" s="325">
        <f>Data!AO31/AO$4*100000*AO$3</f>
        <v>0</v>
      </c>
      <c r="AP28" s="325">
        <f>Data!AP31/AP$4*100000*AP$3</f>
        <v>0</v>
      </c>
      <c r="AQ28" s="325">
        <f>Data!AQ31/AQ$4*100000*AQ$3</f>
        <v>10532.721655275724</v>
      </c>
      <c r="AR28" s="325">
        <f>Data!AR31/AR$4*100000*AR$3</f>
        <v>0</v>
      </c>
      <c r="AS28" s="325">
        <f>Data!AS31/AS$4*100000*AS$3</f>
        <v>0</v>
      </c>
      <c r="AT28" s="325">
        <f>Data!AT31/AT$4*100000*AT$3</f>
        <v>0</v>
      </c>
      <c r="AU28" s="325">
        <f>Data!AU31/AU$4*100000*AU$3</f>
        <v>6883.9706742849276</v>
      </c>
      <c r="AV28" s="325">
        <f>Data!AV31/AV$4*100000*AV$3</f>
        <v>0</v>
      </c>
      <c r="AW28" s="325">
        <f>Data!AW31/AW$4*100000*AW$3</f>
        <v>24245.11814444029</v>
      </c>
      <c r="AX28" s="325">
        <f>Data!AX31/AX$4*100000*AX$3</f>
        <v>80388.8930922297</v>
      </c>
      <c r="AY28" s="325">
        <f>Data!AY31/AY$4*100000*AY$3</f>
        <v>58114.797480308422</v>
      </c>
      <c r="AZ28" s="325">
        <f>Data!AZ31/AZ$4*100000*AZ$3</f>
        <v>164708.46601515319</v>
      </c>
      <c r="BA28" s="325">
        <f>Data!BA31/BA$4*100000*BA$3</f>
        <v>172952.9533027026</v>
      </c>
      <c r="BB28" s="325">
        <f>Data!BB31/BB$4*100000*BB$3</f>
        <v>80307.705312988721</v>
      </c>
      <c r="BC28" s="325">
        <f>Data!BC31/BC$4*100000*BC$3</f>
        <v>80961.416824794447</v>
      </c>
      <c r="BD28" s="325">
        <f>Data!BD31/BD$4*100000*BD$3</f>
        <v>34155.750221007802</v>
      </c>
      <c r="BE28" s="325">
        <f>Data!BE31/BE$4*100000*BE$3</f>
        <v>49144.879103597406</v>
      </c>
    </row>
    <row r="29" spans="1:57" ht="12" customHeight="1">
      <c r="A29" s="30"/>
      <c r="B29" s="145" t="str">
        <f>UPPER(LEFT(TRIM(Data!B32),1)) &amp; MID(TRIM(Data!B32),2,50)</f>
        <v>Šlapimo pūslės</v>
      </c>
      <c r="C29" s="145" t="str">
        <f>Data!C32</f>
        <v>C67</v>
      </c>
      <c r="D29" s="146">
        <f>Data!E32</f>
        <v>181</v>
      </c>
      <c r="E29" s="147">
        <f t="shared" si="5"/>
        <v>13.528340752743786</v>
      </c>
      <c r="F29" s="148">
        <f t="shared" si="6"/>
        <v>10.362882354043133</v>
      </c>
      <c r="G29" s="148">
        <f t="shared" si="7"/>
        <v>6.3300934508912032</v>
      </c>
      <c r="H29" s="58"/>
      <c r="I29" s="58"/>
      <c r="J29" s="58"/>
      <c r="K29" s="58"/>
      <c r="L29" s="58"/>
      <c r="M29" s="58"/>
      <c r="N29" s="58"/>
      <c r="O29" s="58"/>
      <c r="P29" s="58"/>
      <c r="Q29" s="317"/>
      <c r="R29" s="333" t="s">
        <v>353</v>
      </c>
      <c r="S29" s="325">
        <f t="shared" si="2"/>
        <v>1036288.2354043133</v>
      </c>
      <c r="T29" s="325">
        <f>Data!AN32/T$4*100000*T$3</f>
        <v>0</v>
      </c>
      <c r="U29" s="325">
        <f>Data!AO32/U$4*100000*U$3</f>
        <v>0</v>
      </c>
      <c r="V29" s="325">
        <f>Data!AP32/V$4*100000*V$3</f>
        <v>0</v>
      </c>
      <c r="W29" s="325">
        <f>Data!AQ32/W$4*100000*W$3</f>
        <v>0</v>
      </c>
      <c r="X29" s="325">
        <f>Data!AR32/X$4*100000*X$3</f>
        <v>0</v>
      </c>
      <c r="Y29" s="325">
        <f>Data!AS32/Y$4*100000*Y$3</f>
        <v>0</v>
      </c>
      <c r="Z29" s="325">
        <f>Data!AT32/Z$4*100000*Z$3</f>
        <v>0</v>
      </c>
      <c r="AA29" s="325">
        <f>Data!AU32/AA$4*100000*AA$3</f>
        <v>8031.299119999082</v>
      </c>
      <c r="AB29" s="325">
        <f>Data!AV32/AB$4*100000*AB$3</f>
        <v>7339.7573685921307</v>
      </c>
      <c r="AC29" s="325">
        <f>Data!AW32/AC$4*100000*AC$3</f>
        <v>7071.4927921284179</v>
      </c>
      <c r="AD29" s="325">
        <f>Data!AX32/AD$4*100000*AD$3</f>
        <v>26481.047136263904</v>
      </c>
      <c r="AE29" s="325">
        <f>Data!AY32/AE$4*100000*AE$3</f>
        <v>68492.439887506349</v>
      </c>
      <c r="AF29" s="325">
        <f>Data!AZ32/AF$4*100000*AF$3</f>
        <v>102942.79125947074</v>
      </c>
      <c r="AG29" s="325">
        <f>Data!BA32/AG$4*100000*AG$3</f>
        <v>146747.96037805069</v>
      </c>
      <c r="AH29" s="325">
        <f>Data!BB32/AH$4*100000*AH$3</f>
        <v>133141.72196627076</v>
      </c>
      <c r="AI29" s="325">
        <f>Data!BC32/AI$4*100000*AI$3</f>
        <v>202403.54206198608</v>
      </c>
      <c r="AJ29" s="325">
        <f>Data!BD32/AJ$4*100000*AJ$3</f>
        <v>156714.6186610946</v>
      </c>
      <c r="AK29" s="325">
        <f>Data!BE32/AK$4*100000*AK$3</f>
        <v>176921.56477295066</v>
      </c>
      <c r="AL29" s="333" t="s">
        <v>353</v>
      </c>
      <c r="AM29" s="325">
        <f t="shared" si="3"/>
        <v>633009.34508912032</v>
      </c>
      <c r="AN29" s="325">
        <f>Data!AN32/AN$4*100000*AN$3</f>
        <v>0</v>
      </c>
      <c r="AO29" s="325">
        <f>Data!AO32/AO$4*100000*AO$3</f>
        <v>0</v>
      </c>
      <c r="AP29" s="325">
        <f>Data!AP32/AP$4*100000*AP$3</f>
        <v>0</v>
      </c>
      <c r="AQ29" s="325">
        <f>Data!AQ32/AQ$4*100000*AQ$3</f>
        <v>0</v>
      </c>
      <c r="AR29" s="325">
        <f>Data!AR32/AR$4*100000*AR$3</f>
        <v>0</v>
      </c>
      <c r="AS29" s="325">
        <f>Data!AS32/AS$4*100000*AS$3</f>
        <v>0</v>
      </c>
      <c r="AT29" s="325">
        <f>Data!AT32/AT$4*100000*AT$3</f>
        <v>0</v>
      </c>
      <c r="AU29" s="325">
        <f>Data!AU32/AU$4*100000*AU$3</f>
        <v>6883.9706742849276</v>
      </c>
      <c r="AV29" s="325">
        <f>Data!AV32/AV$4*100000*AV$3</f>
        <v>6291.2206016503978</v>
      </c>
      <c r="AW29" s="325">
        <f>Data!AW32/AW$4*100000*AW$3</f>
        <v>6061.2795361100725</v>
      </c>
      <c r="AX29" s="325">
        <f>Data!AX32/AX$4*100000*AX$3</f>
        <v>18915.03366875993</v>
      </c>
      <c r="AY29" s="325">
        <f>Data!AY32/AY$4*100000*AY$3</f>
        <v>45661.626591670902</v>
      </c>
      <c r="AZ29" s="325">
        <f>Data!AZ32/AZ$4*100000*AZ$3</f>
        <v>82354.233007576593</v>
      </c>
      <c r="BA29" s="325">
        <f>Data!BA32/BA$4*100000*BA$3</f>
        <v>110060.97028353802</v>
      </c>
      <c r="BB29" s="325">
        <f>Data!BB32/BB$4*100000*BB$3</f>
        <v>88761.147977513843</v>
      </c>
      <c r="BC29" s="325">
        <f>Data!BC32/BC$4*100000*BC$3</f>
        <v>101201.77103099304</v>
      </c>
      <c r="BD29" s="325">
        <f>Data!BD32/BD$4*100000*BD$3</f>
        <v>78357.309330547301</v>
      </c>
      <c r="BE29" s="325">
        <f>Data!BE32/BE$4*100000*BE$3</f>
        <v>88460.78238647533</v>
      </c>
    </row>
    <row r="30" spans="1:57" ht="12" customHeight="1">
      <c r="A30" s="30"/>
      <c r="B30" s="150" t="str">
        <f>UPPER(LEFT(TRIM(Data!B33),1)) &amp; MID(TRIM(Data!B33),2,50)</f>
        <v>Kitų šlapimą išskiriančių organų</v>
      </c>
      <c r="C30" s="129" t="str">
        <f>Data!C33</f>
        <v>C65, C66, C68</v>
      </c>
      <c r="D30" s="142">
        <f>Data!E33</f>
        <v>14</v>
      </c>
      <c r="E30" s="131">
        <f t="shared" si="5"/>
        <v>1.0463909974497956</v>
      </c>
      <c r="F30" s="132">
        <f t="shared" si="6"/>
        <v>0.83517097967893195</v>
      </c>
      <c r="G30" s="133">
        <f t="shared" si="7"/>
        <v>0.54009019110511669</v>
      </c>
      <c r="H30" s="58"/>
      <c r="I30" s="58"/>
      <c r="J30" s="58"/>
      <c r="K30" s="58"/>
      <c r="L30" s="58"/>
      <c r="M30" s="58"/>
      <c r="N30" s="58"/>
      <c r="O30" s="58"/>
      <c r="P30" s="58"/>
      <c r="Q30" s="317"/>
      <c r="R30" s="333" t="s">
        <v>353</v>
      </c>
      <c r="S30" s="325">
        <f t="shared" si="2"/>
        <v>83517.097967893191</v>
      </c>
      <c r="T30" s="325">
        <f>Data!AN33/T$4*100000*T$3</f>
        <v>0</v>
      </c>
      <c r="U30" s="325">
        <f>Data!AO33/U$4*100000*U$3</f>
        <v>0</v>
      </c>
      <c r="V30" s="325">
        <f>Data!AP33/V$4*100000*V$3</f>
        <v>0</v>
      </c>
      <c r="W30" s="325">
        <f>Data!AQ33/W$4*100000*W$3</f>
        <v>0</v>
      </c>
      <c r="X30" s="325">
        <f>Data!AR33/X$4*100000*X$3</f>
        <v>0</v>
      </c>
      <c r="Y30" s="325">
        <f>Data!AS33/Y$4*100000*Y$3</f>
        <v>0</v>
      </c>
      <c r="Z30" s="325">
        <f>Data!AT33/Z$4*100000*Z$3</f>
        <v>0</v>
      </c>
      <c r="AA30" s="325">
        <f>Data!AU33/AA$4*100000*AA$3</f>
        <v>0</v>
      </c>
      <c r="AB30" s="325">
        <f>Data!AV33/AB$4*100000*AB$3</f>
        <v>0</v>
      </c>
      <c r="AC30" s="325">
        <f>Data!AW33/AC$4*100000*AC$3</f>
        <v>0</v>
      </c>
      <c r="AD30" s="325">
        <f>Data!AX33/AD$4*100000*AD$3</f>
        <v>13240.523568131952</v>
      </c>
      <c r="AE30" s="325">
        <f>Data!AY33/AE$4*100000*AE$3</f>
        <v>0</v>
      </c>
      <c r="AF30" s="325">
        <f>Data!AZ33/AF$4*100000*AF$3</f>
        <v>6862.8527506313831</v>
      </c>
      <c r="AG30" s="325">
        <f>Data!BA33/AG$4*100000*AG$3</f>
        <v>20963.994339721532</v>
      </c>
      <c r="AH30" s="325">
        <f>Data!BB33/AH$4*100000*AH$3</f>
        <v>12680.163996787691</v>
      </c>
      <c r="AI30" s="325">
        <f>Data!BC33/AI$4*100000*AI$3</f>
        <v>15180.265654648958</v>
      </c>
      <c r="AJ30" s="325">
        <f>Data!BD33/AJ$4*100000*AJ$3</f>
        <v>8036.6471108253636</v>
      </c>
      <c r="AK30" s="325">
        <f>Data!BE33/AK$4*100000*AK$3</f>
        <v>6552.6505471463206</v>
      </c>
      <c r="AL30" s="333" t="s">
        <v>353</v>
      </c>
      <c r="AM30" s="325">
        <f t="shared" si="3"/>
        <v>54009.019110511668</v>
      </c>
      <c r="AN30" s="325">
        <f>Data!AN33/AN$4*100000*AN$3</f>
        <v>0</v>
      </c>
      <c r="AO30" s="325">
        <f>Data!AO33/AO$4*100000*AO$3</f>
        <v>0</v>
      </c>
      <c r="AP30" s="325">
        <f>Data!AP33/AP$4*100000*AP$3</f>
        <v>0</v>
      </c>
      <c r="AQ30" s="325">
        <f>Data!AQ33/AQ$4*100000*AQ$3</f>
        <v>0</v>
      </c>
      <c r="AR30" s="325">
        <f>Data!AR33/AR$4*100000*AR$3</f>
        <v>0</v>
      </c>
      <c r="AS30" s="325">
        <f>Data!AS33/AS$4*100000*AS$3</f>
        <v>0</v>
      </c>
      <c r="AT30" s="325">
        <f>Data!AT33/AT$4*100000*AT$3</f>
        <v>0</v>
      </c>
      <c r="AU30" s="325">
        <f>Data!AU33/AU$4*100000*AU$3</f>
        <v>0</v>
      </c>
      <c r="AV30" s="325">
        <f>Data!AV33/AV$4*100000*AV$3</f>
        <v>0</v>
      </c>
      <c r="AW30" s="325">
        <f>Data!AW33/AW$4*100000*AW$3</f>
        <v>0</v>
      </c>
      <c r="AX30" s="325">
        <f>Data!AX33/AX$4*100000*AX$3</f>
        <v>9457.5168343799651</v>
      </c>
      <c r="AY30" s="325">
        <f>Data!AY33/AY$4*100000*AY$3</f>
        <v>0</v>
      </c>
      <c r="AZ30" s="325">
        <f>Data!AZ33/AZ$4*100000*AZ$3</f>
        <v>5490.2822005051066</v>
      </c>
      <c r="BA30" s="325">
        <f>Data!BA33/BA$4*100000*BA$3</f>
        <v>15722.995754791147</v>
      </c>
      <c r="BB30" s="325">
        <f>Data!BB33/BB$4*100000*BB$3</f>
        <v>8453.4426645251278</v>
      </c>
      <c r="BC30" s="325">
        <f>Data!BC33/BC$4*100000*BC$3</f>
        <v>7590.132827324479</v>
      </c>
      <c r="BD30" s="325">
        <f>Data!BD33/BD$4*100000*BD$3</f>
        <v>4018.3235554126818</v>
      </c>
      <c r="BE30" s="325">
        <f>Data!BE33/BE$4*100000*BE$3</f>
        <v>3276.3252735731603</v>
      </c>
    </row>
    <row r="31" spans="1:57" ht="12" customHeight="1">
      <c r="A31" s="30"/>
      <c r="B31" s="145" t="str">
        <f>UPPER(LEFT(TRIM(Data!B34),1)) &amp; MID(TRIM(Data!B34),2,50)</f>
        <v>Akių</v>
      </c>
      <c r="C31" s="145" t="str">
        <f>Data!C34</f>
        <v>C69</v>
      </c>
      <c r="D31" s="146">
        <f>Data!E34</f>
        <v>3</v>
      </c>
      <c r="E31" s="147">
        <f t="shared" si="5"/>
        <v>0.22422664231067049</v>
      </c>
      <c r="F31" s="148">
        <f t="shared" si="6"/>
        <v>0.1943146966994258</v>
      </c>
      <c r="G31" s="148">
        <f t="shared" si="7"/>
        <v>0.13640736282322319</v>
      </c>
      <c r="H31" s="58"/>
      <c r="I31" s="58"/>
      <c r="J31" s="58"/>
      <c r="K31" s="58"/>
      <c r="L31" s="58"/>
      <c r="M31" s="58"/>
      <c r="N31" s="58"/>
      <c r="O31" s="58"/>
      <c r="P31" s="58"/>
      <c r="Q31" s="317"/>
      <c r="R31" s="333" t="s">
        <v>353</v>
      </c>
      <c r="S31" s="325">
        <f t="shared" si="2"/>
        <v>19431.46966994258</v>
      </c>
      <c r="T31" s="325">
        <f>Data!AN34/T$4*100000*T$3</f>
        <v>0</v>
      </c>
      <c r="U31" s="325">
        <f>Data!AO34/U$4*100000*U$3</f>
        <v>0</v>
      </c>
      <c r="V31" s="325">
        <f>Data!AP34/V$4*100000*V$3</f>
        <v>0</v>
      </c>
      <c r="W31" s="325">
        <f>Data!AQ34/W$4*100000*W$3</f>
        <v>0</v>
      </c>
      <c r="X31" s="325">
        <f>Data!AR34/X$4*100000*X$3</f>
        <v>0</v>
      </c>
      <c r="Y31" s="325">
        <f>Data!AS34/Y$4*100000*Y$3</f>
        <v>0</v>
      </c>
      <c r="Z31" s="325">
        <f>Data!AT34/Z$4*100000*Z$3</f>
        <v>0</v>
      </c>
      <c r="AA31" s="325">
        <f>Data!AU34/AA$4*100000*AA$3</f>
        <v>8031.299119999082</v>
      </c>
      <c r="AB31" s="325">
        <f>Data!AV34/AB$4*100000*AB$3</f>
        <v>0</v>
      </c>
      <c r="AC31" s="325">
        <f>Data!AW34/AC$4*100000*AC$3</f>
        <v>0</v>
      </c>
      <c r="AD31" s="325">
        <f>Data!AX34/AD$4*100000*AD$3</f>
        <v>0</v>
      </c>
      <c r="AE31" s="325">
        <f>Data!AY34/AE$4*100000*AE$3</f>
        <v>0</v>
      </c>
      <c r="AF31" s="325">
        <f>Data!AZ34/AF$4*100000*AF$3</f>
        <v>0</v>
      </c>
      <c r="AG31" s="325">
        <f>Data!BA34/AG$4*100000*AG$3</f>
        <v>0</v>
      </c>
      <c r="AH31" s="325">
        <f>Data!BB34/AH$4*100000*AH$3</f>
        <v>6340.0819983938454</v>
      </c>
      <c r="AI31" s="325">
        <f>Data!BC34/AI$4*100000*AI$3</f>
        <v>5060.0885515496529</v>
      </c>
      <c r="AJ31" s="325">
        <f>Data!BD34/AJ$4*100000*AJ$3</f>
        <v>0</v>
      </c>
      <c r="AK31" s="325">
        <f>Data!BE34/AK$4*100000*AK$3</f>
        <v>0</v>
      </c>
      <c r="AL31" s="333" t="s">
        <v>353</v>
      </c>
      <c r="AM31" s="325">
        <f t="shared" si="3"/>
        <v>13640.736282322317</v>
      </c>
      <c r="AN31" s="325">
        <f>Data!AN34/AN$4*100000*AN$3</f>
        <v>0</v>
      </c>
      <c r="AO31" s="325">
        <f>Data!AO34/AO$4*100000*AO$3</f>
        <v>0</v>
      </c>
      <c r="AP31" s="325">
        <f>Data!AP34/AP$4*100000*AP$3</f>
        <v>0</v>
      </c>
      <c r="AQ31" s="325">
        <f>Data!AQ34/AQ$4*100000*AQ$3</f>
        <v>0</v>
      </c>
      <c r="AR31" s="325">
        <f>Data!AR34/AR$4*100000*AR$3</f>
        <v>0</v>
      </c>
      <c r="AS31" s="325">
        <f>Data!AS34/AS$4*100000*AS$3</f>
        <v>0</v>
      </c>
      <c r="AT31" s="325">
        <f>Data!AT34/AT$4*100000*AT$3</f>
        <v>0</v>
      </c>
      <c r="AU31" s="325">
        <f>Data!AU34/AU$4*100000*AU$3</f>
        <v>6883.9706742849276</v>
      </c>
      <c r="AV31" s="325">
        <f>Data!AV34/AV$4*100000*AV$3</f>
        <v>0</v>
      </c>
      <c r="AW31" s="325">
        <f>Data!AW34/AW$4*100000*AW$3</f>
        <v>0</v>
      </c>
      <c r="AX31" s="325">
        <f>Data!AX34/AX$4*100000*AX$3</f>
        <v>0</v>
      </c>
      <c r="AY31" s="325">
        <f>Data!AY34/AY$4*100000*AY$3</f>
        <v>0</v>
      </c>
      <c r="AZ31" s="325">
        <f>Data!AZ34/AZ$4*100000*AZ$3</f>
        <v>0</v>
      </c>
      <c r="BA31" s="325">
        <f>Data!BA34/BA$4*100000*BA$3</f>
        <v>0</v>
      </c>
      <c r="BB31" s="325">
        <f>Data!BB34/BB$4*100000*BB$3</f>
        <v>4226.7213322625639</v>
      </c>
      <c r="BC31" s="325">
        <f>Data!BC34/BC$4*100000*BC$3</f>
        <v>2530.0442757748265</v>
      </c>
      <c r="BD31" s="325">
        <f>Data!BD34/BD$4*100000*BD$3</f>
        <v>0</v>
      </c>
      <c r="BE31" s="325">
        <f>Data!BE34/BE$4*100000*BE$3</f>
        <v>0</v>
      </c>
    </row>
    <row r="32" spans="1:57" ht="12" customHeight="1">
      <c r="A32" s="30"/>
      <c r="B32" s="150" t="str">
        <f>UPPER(LEFT(TRIM(Data!B35),1)) &amp; MID(TRIM(Data!B35),2,50)</f>
        <v>Smegenų</v>
      </c>
      <c r="C32" s="129" t="str">
        <f>Data!C35</f>
        <v>C70-C72</v>
      </c>
      <c r="D32" s="142">
        <f>Data!E35</f>
        <v>110</v>
      </c>
      <c r="E32" s="131">
        <f t="shared" si="5"/>
        <v>8.2216435513912511</v>
      </c>
      <c r="F32" s="132">
        <f t="shared" si="6"/>
        <v>7.2817104936103663</v>
      </c>
      <c r="G32" s="133">
        <f t="shared" si="7"/>
        <v>5.633899473589099</v>
      </c>
      <c r="H32" s="58"/>
      <c r="I32" s="58"/>
      <c r="J32" s="58"/>
      <c r="K32" s="58"/>
      <c r="L32" s="58"/>
      <c r="M32" s="58"/>
      <c r="N32" s="58"/>
      <c r="O32" s="58"/>
      <c r="P32" s="58"/>
      <c r="Q32" s="317"/>
      <c r="R32" s="333" t="s">
        <v>353</v>
      </c>
      <c r="S32" s="325">
        <f t="shared" si="2"/>
        <v>728171.04936103662</v>
      </c>
      <c r="T32" s="325">
        <f>Data!AN35/T$4*100000*T$3</f>
        <v>10334.448592577282</v>
      </c>
      <c r="U32" s="325">
        <f>Data!AO35/U$4*100000*U$3</f>
        <v>0</v>
      </c>
      <c r="V32" s="325">
        <f>Data!AP35/V$4*100000*V$3</f>
        <v>20335.240972605527</v>
      </c>
      <c r="W32" s="325">
        <f>Data!AQ35/W$4*100000*W$3</f>
        <v>8192.1168429922291</v>
      </c>
      <c r="X32" s="325">
        <f>Data!AR35/X$4*100000*X$3</f>
        <v>6766.2268619206407</v>
      </c>
      <c r="Y32" s="325">
        <f>Data!AS35/Y$4*100000*Y$3</f>
        <v>20901.553682157042</v>
      </c>
      <c r="Z32" s="325">
        <f>Data!AT35/Z$4*100000*Z$3</f>
        <v>7749.4492355721868</v>
      </c>
      <c r="AA32" s="325">
        <f>Data!AU35/AA$4*100000*AA$3</f>
        <v>48187.79471999449</v>
      </c>
      <c r="AB32" s="325">
        <f>Data!AV35/AB$4*100000*AB$3</f>
        <v>29359.029474368523</v>
      </c>
      <c r="AC32" s="325">
        <f>Data!AW35/AC$4*100000*AC$3</f>
        <v>49500.449544898926</v>
      </c>
      <c r="AD32" s="325">
        <f>Data!AX35/AD$4*100000*AD$3</f>
        <v>72822.879624725727</v>
      </c>
      <c r="AE32" s="325">
        <f>Data!AY35/AE$4*100000*AE$3</f>
        <v>93398.781664781403</v>
      </c>
      <c r="AF32" s="325">
        <f>Data!AZ35/AF$4*100000*AF$3</f>
        <v>96079.938508839361</v>
      </c>
      <c r="AG32" s="325">
        <f>Data!BA35/AG$4*100000*AG$3</f>
        <v>111807.96981184815</v>
      </c>
      <c r="AH32" s="325">
        <f>Data!BB35/AH$4*100000*AH$3</f>
        <v>76080.98398072616</v>
      </c>
      <c r="AI32" s="325">
        <f>Data!BC35/AI$4*100000*AI$3</f>
        <v>35420.619860847568</v>
      </c>
      <c r="AJ32" s="325">
        <f>Data!BD35/AJ$4*100000*AJ$3</f>
        <v>28128.26488788877</v>
      </c>
      <c r="AK32" s="325">
        <f>Data!BE35/AK$4*100000*AK$3</f>
        <v>13105.301094292641</v>
      </c>
      <c r="AL32" s="333" t="s">
        <v>353</v>
      </c>
      <c r="AM32" s="325">
        <f t="shared" si="3"/>
        <v>563389.94735890988</v>
      </c>
      <c r="AN32" s="325">
        <f>Data!AN35/AN$4*100000*AN$3</f>
        <v>15501.672888865922</v>
      </c>
      <c r="AO32" s="325">
        <f>Data!AO35/AO$4*100000*AO$3</f>
        <v>0</v>
      </c>
      <c r="AP32" s="325">
        <f>Data!AP35/AP$4*100000*AP$3</f>
        <v>26145.309821921393</v>
      </c>
      <c r="AQ32" s="325">
        <f>Data!AQ35/AQ$4*100000*AQ$3</f>
        <v>10532.721655275724</v>
      </c>
      <c r="AR32" s="325">
        <f>Data!AR35/AR$4*100000*AR$3</f>
        <v>7732.8306993378756</v>
      </c>
      <c r="AS32" s="325">
        <f>Data!AS35/AS$4*100000*AS$3</f>
        <v>23887.489922465189</v>
      </c>
      <c r="AT32" s="325">
        <f>Data!AT35/AT$4*100000*AT$3</f>
        <v>6642.3850590618749</v>
      </c>
      <c r="AU32" s="325">
        <f>Data!AU35/AU$4*100000*AU$3</f>
        <v>41303.82404570956</v>
      </c>
      <c r="AV32" s="325">
        <f>Data!AV35/AV$4*100000*AV$3</f>
        <v>25164.882406601591</v>
      </c>
      <c r="AW32" s="325">
        <f>Data!AW35/AW$4*100000*AW$3</f>
        <v>42428.956752770508</v>
      </c>
      <c r="AX32" s="325">
        <f>Data!AX35/AX$4*100000*AX$3</f>
        <v>52016.342589089807</v>
      </c>
      <c r="AY32" s="325">
        <f>Data!AY35/AY$4*100000*AY$3</f>
        <v>62265.8544431876</v>
      </c>
      <c r="AZ32" s="325">
        <f>Data!AZ35/AZ$4*100000*AZ$3</f>
        <v>76863.950807071495</v>
      </c>
      <c r="BA32" s="325">
        <f>Data!BA35/BA$4*100000*BA$3</f>
        <v>83855.977358886114</v>
      </c>
      <c r="BB32" s="325">
        <f>Data!BB35/BB$4*100000*BB$3</f>
        <v>50720.655987150771</v>
      </c>
      <c r="BC32" s="325">
        <f>Data!BC35/BC$4*100000*BC$3</f>
        <v>17710.309930423784</v>
      </c>
      <c r="BD32" s="325">
        <f>Data!BD35/BD$4*100000*BD$3</f>
        <v>14064.132443944385</v>
      </c>
      <c r="BE32" s="325">
        <f>Data!BE35/BE$4*100000*BE$3</f>
        <v>6552.6505471463206</v>
      </c>
    </row>
    <row r="33" spans="1:57" ht="12" customHeight="1">
      <c r="A33" s="30"/>
      <c r="B33" s="145" t="str">
        <f>UPPER(LEFT(TRIM(Data!B36),1)) &amp; MID(TRIM(Data!B36),2,50)</f>
        <v>Skydliaukės</v>
      </c>
      <c r="C33" s="145" t="str">
        <f>Data!C36</f>
        <v>C73</v>
      </c>
      <c r="D33" s="146">
        <f>Data!E36</f>
        <v>11</v>
      </c>
      <c r="E33" s="147">
        <f t="shared" si="5"/>
        <v>0.82216435513912511</v>
      </c>
      <c r="F33" s="148">
        <f t="shared" si="6"/>
        <v>0.67605894712296444</v>
      </c>
      <c r="G33" s="148">
        <f t="shared" si="7"/>
        <v>0.43909038963692115</v>
      </c>
      <c r="H33" s="58"/>
      <c r="I33" s="58"/>
      <c r="J33" s="58"/>
      <c r="K33" s="58"/>
      <c r="L33" s="58"/>
      <c r="M33" s="58"/>
      <c r="N33" s="58"/>
      <c r="O33" s="58"/>
      <c r="P33" s="58"/>
      <c r="Q33" s="317"/>
      <c r="R33" s="333" t="s">
        <v>353</v>
      </c>
      <c r="S33" s="325">
        <f t="shared" si="2"/>
        <v>67605.894712296446</v>
      </c>
      <c r="T33" s="325">
        <f>Data!AN36/T$4*100000*T$3</f>
        <v>0</v>
      </c>
      <c r="U33" s="325">
        <f>Data!AO36/U$4*100000*U$3</f>
        <v>0</v>
      </c>
      <c r="V33" s="325">
        <f>Data!AP36/V$4*100000*V$3</f>
        <v>0</v>
      </c>
      <c r="W33" s="325">
        <f>Data!AQ36/W$4*100000*W$3</f>
        <v>0</v>
      </c>
      <c r="X33" s="325">
        <f>Data!AR36/X$4*100000*X$3</f>
        <v>0</v>
      </c>
      <c r="Y33" s="325">
        <f>Data!AS36/Y$4*100000*Y$3</f>
        <v>0</v>
      </c>
      <c r="Z33" s="325">
        <f>Data!AT36/Z$4*100000*Z$3</f>
        <v>0</v>
      </c>
      <c r="AA33" s="325">
        <f>Data!AU36/AA$4*100000*AA$3</f>
        <v>0</v>
      </c>
      <c r="AB33" s="325">
        <f>Data!AV36/AB$4*100000*AB$3</f>
        <v>0</v>
      </c>
      <c r="AC33" s="325">
        <f>Data!AW36/AC$4*100000*AC$3</f>
        <v>0</v>
      </c>
      <c r="AD33" s="325">
        <f>Data!AX36/AD$4*100000*AD$3</f>
        <v>13240.523568131952</v>
      </c>
      <c r="AE33" s="325">
        <f>Data!AY36/AE$4*100000*AE$3</f>
        <v>6226.58544431876</v>
      </c>
      <c r="AF33" s="325">
        <f>Data!AZ36/AF$4*100000*AF$3</f>
        <v>13725.705501262766</v>
      </c>
      <c r="AG33" s="325">
        <f>Data!BA36/AG$4*100000*AG$3</f>
        <v>0</v>
      </c>
      <c r="AH33" s="325">
        <f>Data!BB36/AH$4*100000*AH$3</f>
        <v>12680.163996787691</v>
      </c>
      <c r="AI33" s="325">
        <f>Data!BC36/AI$4*100000*AI$3</f>
        <v>15180.265654648958</v>
      </c>
      <c r="AJ33" s="325">
        <f>Data!BD36/AJ$4*100000*AJ$3</f>
        <v>0</v>
      </c>
      <c r="AK33" s="325">
        <f>Data!BE36/AK$4*100000*AK$3</f>
        <v>6552.6505471463206</v>
      </c>
      <c r="AL33" s="333" t="s">
        <v>353</v>
      </c>
      <c r="AM33" s="325">
        <f t="shared" si="3"/>
        <v>43909.038963692117</v>
      </c>
      <c r="AN33" s="325">
        <f>Data!AN36/AN$4*100000*AN$3</f>
        <v>0</v>
      </c>
      <c r="AO33" s="325">
        <f>Data!AO36/AO$4*100000*AO$3</f>
        <v>0</v>
      </c>
      <c r="AP33" s="325">
        <f>Data!AP36/AP$4*100000*AP$3</f>
        <v>0</v>
      </c>
      <c r="AQ33" s="325">
        <f>Data!AQ36/AQ$4*100000*AQ$3</f>
        <v>0</v>
      </c>
      <c r="AR33" s="325">
        <f>Data!AR36/AR$4*100000*AR$3</f>
        <v>0</v>
      </c>
      <c r="AS33" s="325">
        <f>Data!AS36/AS$4*100000*AS$3</f>
        <v>0</v>
      </c>
      <c r="AT33" s="325">
        <f>Data!AT36/AT$4*100000*AT$3</f>
        <v>0</v>
      </c>
      <c r="AU33" s="325">
        <f>Data!AU36/AU$4*100000*AU$3</f>
        <v>0</v>
      </c>
      <c r="AV33" s="325">
        <f>Data!AV36/AV$4*100000*AV$3</f>
        <v>0</v>
      </c>
      <c r="AW33" s="325">
        <f>Data!AW36/AW$4*100000*AW$3</f>
        <v>0</v>
      </c>
      <c r="AX33" s="325">
        <f>Data!AX36/AX$4*100000*AX$3</f>
        <v>9457.5168343799651</v>
      </c>
      <c r="AY33" s="325">
        <f>Data!AY36/AY$4*100000*AY$3</f>
        <v>4151.0569628791736</v>
      </c>
      <c r="AZ33" s="325">
        <f>Data!AZ36/AZ$4*100000*AZ$3</f>
        <v>10980.564401010213</v>
      </c>
      <c r="BA33" s="325">
        <f>Data!BA36/BA$4*100000*BA$3</f>
        <v>0</v>
      </c>
      <c r="BB33" s="325">
        <f>Data!BB36/BB$4*100000*BB$3</f>
        <v>8453.4426645251278</v>
      </c>
      <c r="BC33" s="325">
        <f>Data!BC36/BC$4*100000*BC$3</f>
        <v>7590.132827324479</v>
      </c>
      <c r="BD33" s="325">
        <f>Data!BD36/BD$4*100000*BD$3</f>
        <v>0</v>
      </c>
      <c r="BE33" s="325">
        <f>Data!BE36/BE$4*100000*BE$3</f>
        <v>3276.3252735731603</v>
      </c>
    </row>
    <row r="34" spans="1:57" ht="12" customHeight="1">
      <c r="A34" s="30"/>
      <c r="B34" s="150" t="str">
        <f>UPPER(LEFT(TRIM(Data!B37),1)) &amp; MID(TRIM(Data!B37),2,50)</f>
        <v>Kitų endokrininių liaukų</v>
      </c>
      <c r="C34" s="129" t="str">
        <f>Data!C37</f>
        <v>C74-C75</v>
      </c>
      <c r="D34" s="142">
        <f>Data!E37</f>
        <v>12</v>
      </c>
      <c r="E34" s="131">
        <f t="shared" si="5"/>
        <v>0.89690656924268197</v>
      </c>
      <c r="F34" s="132">
        <f t="shared" si="6"/>
        <v>0.78123022793172336</v>
      </c>
      <c r="G34" s="133">
        <f t="shared" si="7"/>
        <v>0.57459711477791775</v>
      </c>
      <c r="H34" s="58"/>
      <c r="I34" s="58"/>
      <c r="J34" s="58"/>
      <c r="K34" s="58"/>
      <c r="L34" s="58"/>
      <c r="M34" s="58"/>
      <c r="N34" s="58"/>
      <c r="O34" s="58"/>
      <c r="P34" s="58"/>
      <c r="Q34" s="317"/>
      <c r="R34" s="333" t="s">
        <v>353</v>
      </c>
      <c r="S34" s="325">
        <f t="shared" si="2"/>
        <v>78123.022793172335</v>
      </c>
      <c r="T34" s="325">
        <f>Data!AN37/T$4*100000*T$3</f>
        <v>10334.448592577282</v>
      </c>
      <c r="U34" s="325">
        <f>Data!AO37/U$4*100000*U$3</f>
        <v>0</v>
      </c>
      <c r="V34" s="325">
        <f>Data!AP37/V$4*100000*V$3</f>
        <v>0</v>
      </c>
      <c r="W34" s="325">
        <f>Data!AQ37/W$4*100000*W$3</f>
        <v>0</v>
      </c>
      <c r="X34" s="325">
        <f>Data!AR37/X$4*100000*X$3</f>
        <v>0</v>
      </c>
      <c r="Y34" s="325">
        <f>Data!AS37/Y$4*100000*Y$3</f>
        <v>0</v>
      </c>
      <c r="Z34" s="325">
        <f>Data!AT37/Z$4*100000*Z$3</f>
        <v>0</v>
      </c>
      <c r="AA34" s="325">
        <f>Data!AU37/AA$4*100000*AA$3</f>
        <v>0</v>
      </c>
      <c r="AB34" s="325">
        <f>Data!AV37/AB$4*100000*AB$3</f>
        <v>0</v>
      </c>
      <c r="AC34" s="325">
        <f>Data!AW37/AC$4*100000*AC$3</f>
        <v>0</v>
      </c>
      <c r="AD34" s="325">
        <f>Data!AX37/AD$4*100000*AD$3</f>
        <v>6620.2617840659759</v>
      </c>
      <c r="AE34" s="325">
        <f>Data!AY37/AE$4*100000*AE$3</f>
        <v>6226.58544431876</v>
      </c>
      <c r="AF34" s="325">
        <f>Data!AZ37/AF$4*100000*AF$3</f>
        <v>0</v>
      </c>
      <c r="AG34" s="325">
        <f>Data!BA37/AG$4*100000*AG$3</f>
        <v>13975.996226481018</v>
      </c>
      <c r="AH34" s="325">
        <f>Data!BB37/AH$4*100000*AH$3</f>
        <v>12680.163996787691</v>
      </c>
      <c r="AI34" s="325">
        <f>Data!BC37/AI$4*100000*AI$3</f>
        <v>15180.265654648958</v>
      </c>
      <c r="AJ34" s="325">
        <f>Data!BD37/AJ$4*100000*AJ$3</f>
        <v>0</v>
      </c>
      <c r="AK34" s="325">
        <f>Data!BE37/AK$4*100000*AK$3</f>
        <v>13105.301094292641</v>
      </c>
      <c r="AL34" s="333" t="s">
        <v>353</v>
      </c>
      <c r="AM34" s="325">
        <f t="shared" si="3"/>
        <v>57459.711477791774</v>
      </c>
      <c r="AN34" s="325">
        <f>Data!AN37/AN$4*100000*AN$3</f>
        <v>15501.672888865922</v>
      </c>
      <c r="AO34" s="325">
        <f>Data!AO37/AO$4*100000*AO$3</f>
        <v>0</v>
      </c>
      <c r="AP34" s="325">
        <f>Data!AP37/AP$4*100000*AP$3</f>
        <v>0</v>
      </c>
      <c r="AQ34" s="325">
        <f>Data!AQ37/AQ$4*100000*AQ$3</f>
        <v>0</v>
      </c>
      <c r="AR34" s="325">
        <f>Data!AR37/AR$4*100000*AR$3</f>
        <v>0</v>
      </c>
      <c r="AS34" s="325">
        <f>Data!AS37/AS$4*100000*AS$3</f>
        <v>0</v>
      </c>
      <c r="AT34" s="325">
        <f>Data!AT37/AT$4*100000*AT$3</f>
        <v>0</v>
      </c>
      <c r="AU34" s="325">
        <f>Data!AU37/AU$4*100000*AU$3</f>
        <v>0</v>
      </c>
      <c r="AV34" s="325">
        <f>Data!AV37/AV$4*100000*AV$3</f>
        <v>0</v>
      </c>
      <c r="AW34" s="325">
        <f>Data!AW37/AW$4*100000*AW$3</f>
        <v>0</v>
      </c>
      <c r="AX34" s="325">
        <f>Data!AX37/AX$4*100000*AX$3</f>
        <v>4728.7584171899825</v>
      </c>
      <c r="AY34" s="325">
        <f>Data!AY37/AY$4*100000*AY$3</f>
        <v>4151.0569628791736</v>
      </c>
      <c r="AZ34" s="325">
        <f>Data!AZ37/AZ$4*100000*AZ$3</f>
        <v>0</v>
      </c>
      <c r="BA34" s="325">
        <f>Data!BA37/BA$4*100000*BA$3</f>
        <v>10481.997169860764</v>
      </c>
      <c r="BB34" s="325">
        <f>Data!BB37/BB$4*100000*BB$3</f>
        <v>8453.4426645251278</v>
      </c>
      <c r="BC34" s="325">
        <f>Data!BC37/BC$4*100000*BC$3</f>
        <v>7590.132827324479</v>
      </c>
      <c r="BD34" s="325">
        <f>Data!BD37/BD$4*100000*BD$3</f>
        <v>0</v>
      </c>
      <c r="BE34" s="325">
        <f>Data!BE37/BE$4*100000*BE$3</f>
        <v>6552.6505471463206</v>
      </c>
    </row>
    <row r="35" spans="1:57" ht="12" customHeight="1">
      <c r="A35" s="30"/>
      <c r="B35" s="145" t="str">
        <f>UPPER(LEFT(TRIM(Data!B38),1)) &amp; MID(TRIM(Data!B38),2,50)</f>
        <v>Nepatikslintos lokalizacijos</v>
      </c>
      <c r="C35" s="145" t="str">
        <f>Data!C38</f>
        <v>C76-C80</v>
      </c>
      <c r="D35" s="146">
        <f>Data!E38</f>
        <v>207</v>
      </c>
      <c r="E35" s="147">
        <f t="shared" si="5"/>
        <v>15.471638319436263</v>
      </c>
      <c r="F35" s="148">
        <f t="shared" si="6"/>
        <v>12.669003383480568</v>
      </c>
      <c r="G35" s="148">
        <f t="shared" si="7"/>
        <v>8.3861492197103473</v>
      </c>
      <c r="H35" s="58"/>
      <c r="I35" s="58"/>
      <c r="J35" s="58"/>
      <c r="K35" s="58"/>
      <c r="L35" s="58"/>
      <c r="M35" s="58"/>
      <c r="N35" s="58"/>
      <c r="O35" s="58"/>
      <c r="P35" s="58"/>
      <c r="Q35" s="317"/>
      <c r="R35" s="333" t="s">
        <v>353</v>
      </c>
      <c r="S35" s="325">
        <f t="shared" si="2"/>
        <v>1266900.3383480569</v>
      </c>
      <c r="T35" s="325">
        <f>Data!AN38/T$4*100000*T$3</f>
        <v>0</v>
      </c>
      <c r="U35" s="325">
        <f>Data!AO38/U$4*100000*U$3</f>
        <v>0</v>
      </c>
      <c r="V35" s="325">
        <f>Data!AP38/V$4*100000*V$3</f>
        <v>0</v>
      </c>
      <c r="W35" s="325">
        <f>Data!AQ38/W$4*100000*W$3</f>
        <v>0</v>
      </c>
      <c r="X35" s="325">
        <f>Data!AR38/X$4*100000*X$3</f>
        <v>0</v>
      </c>
      <c r="Y35" s="325">
        <f>Data!AS38/Y$4*100000*Y$3</f>
        <v>0</v>
      </c>
      <c r="Z35" s="325">
        <f>Data!AT38/Z$4*100000*Z$3</f>
        <v>0</v>
      </c>
      <c r="AA35" s="325">
        <f>Data!AU38/AA$4*100000*AA$3</f>
        <v>8031.299119999082</v>
      </c>
      <c r="AB35" s="325">
        <f>Data!AV38/AB$4*100000*AB$3</f>
        <v>7339.7573685921307</v>
      </c>
      <c r="AC35" s="325">
        <f>Data!AW38/AC$4*100000*AC$3</f>
        <v>0</v>
      </c>
      <c r="AD35" s="325">
        <f>Data!AX38/AD$4*100000*AD$3</f>
        <v>59582.356056593781</v>
      </c>
      <c r="AE35" s="325">
        <f>Data!AY38/AE$4*100000*AE$3</f>
        <v>205477.31966251906</v>
      </c>
      <c r="AF35" s="325">
        <f>Data!AZ38/AF$4*100000*AF$3</f>
        <v>185297.02426704729</v>
      </c>
      <c r="AG35" s="325">
        <f>Data!BA38/AG$4*100000*AG$3</f>
        <v>244579.93396341783</v>
      </c>
      <c r="AH35" s="325">
        <f>Data!BB38/AH$4*100000*AH$3</f>
        <v>215562.78794539077</v>
      </c>
      <c r="AI35" s="325">
        <f>Data!BC38/AI$4*100000*AI$3</f>
        <v>151802.65654648957</v>
      </c>
      <c r="AJ35" s="325">
        <f>Data!BD38/AJ$4*100000*AJ$3</f>
        <v>84384.794663666311</v>
      </c>
      <c r="AK35" s="325">
        <f>Data!BE38/AK$4*100000*AK$3</f>
        <v>104842.40875434113</v>
      </c>
      <c r="AL35" s="333" t="s">
        <v>353</v>
      </c>
      <c r="AM35" s="325">
        <f t="shared" si="3"/>
        <v>838614.92197103472</v>
      </c>
      <c r="AN35" s="325">
        <f>Data!AN38/AN$4*100000*AN$3</f>
        <v>0</v>
      </c>
      <c r="AO35" s="325">
        <f>Data!AO38/AO$4*100000*AO$3</f>
        <v>0</v>
      </c>
      <c r="AP35" s="325">
        <f>Data!AP38/AP$4*100000*AP$3</f>
        <v>0</v>
      </c>
      <c r="AQ35" s="325">
        <f>Data!AQ38/AQ$4*100000*AQ$3</f>
        <v>0</v>
      </c>
      <c r="AR35" s="325">
        <f>Data!AR38/AR$4*100000*AR$3</f>
        <v>0</v>
      </c>
      <c r="AS35" s="325">
        <f>Data!AS38/AS$4*100000*AS$3</f>
        <v>0</v>
      </c>
      <c r="AT35" s="325">
        <f>Data!AT38/AT$4*100000*AT$3</f>
        <v>0</v>
      </c>
      <c r="AU35" s="325">
        <f>Data!AU38/AU$4*100000*AU$3</f>
        <v>6883.9706742849276</v>
      </c>
      <c r="AV35" s="325">
        <f>Data!AV38/AV$4*100000*AV$3</f>
        <v>6291.2206016503978</v>
      </c>
      <c r="AW35" s="325">
        <f>Data!AW38/AW$4*100000*AW$3</f>
        <v>0</v>
      </c>
      <c r="AX35" s="325">
        <f>Data!AX38/AX$4*100000*AX$3</f>
        <v>42558.82575470984</v>
      </c>
      <c r="AY35" s="325">
        <f>Data!AY38/AY$4*100000*AY$3</f>
        <v>136984.8797750127</v>
      </c>
      <c r="AZ35" s="325">
        <f>Data!AZ38/AZ$4*100000*AZ$3</f>
        <v>148237.61941363785</v>
      </c>
      <c r="BA35" s="325">
        <f>Data!BA38/BA$4*100000*BA$3</f>
        <v>183434.95047256336</v>
      </c>
      <c r="BB35" s="325">
        <f>Data!BB38/BB$4*100000*BB$3</f>
        <v>143708.52529692717</v>
      </c>
      <c r="BC35" s="325">
        <f>Data!BC38/BC$4*100000*BC$3</f>
        <v>75901.328273244784</v>
      </c>
      <c r="BD35" s="325">
        <f>Data!BD38/BD$4*100000*BD$3</f>
        <v>42192.397331833155</v>
      </c>
      <c r="BE35" s="325">
        <f>Data!BE38/BE$4*100000*BE$3</f>
        <v>52421.204377170565</v>
      </c>
    </row>
    <row r="36" spans="1:57" ht="12" customHeight="1">
      <c r="A36" s="30"/>
      <c r="B36" s="150" t="str">
        <f>UPPER(LEFT(TRIM(Data!B39),1)) &amp; MID(TRIM(Data!B39),2,50)</f>
        <v>Hodžkino limfomos</v>
      </c>
      <c r="C36" s="129" t="str">
        <f>Data!C39</f>
        <v>C81</v>
      </c>
      <c r="D36" s="142">
        <f>Data!E39</f>
        <v>9</v>
      </c>
      <c r="E36" s="131">
        <f t="shared" si="5"/>
        <v>0.67267992693201151</v>
      </c>
      <c r="F36" s="132">
        <f t="shared" si="6"/>
        <v>0.55376128498255373</v>
      </c>
      <c r="G36" s="133">
        <f t="shared" si="7"/>
        <v>0.36772192185931912</v>
      </c>
      <c r="H36" s="58"/>
      <c r="I36" s="58"/>
      <c r="J36" s="58"/>
      <c r="K36" s="58"/>
      <c r="L36" s="58"/>
      <c r="M36" s="58"/>
      <c r="N36" s="58"/>
      <c r="O36" s="58"/>
      <c r="P36" s="58"/>
      <c r="Q36" s="317"/>
      <c r="R36" s="333" t="s">
        <v>353</v>
      </c>
      <c r="S36" s="325">
        <f t="shared" si="2"/>
        <v>55376.128498255377</v>
      </c>
      <c r="T36" s="325">
        <f>Data!AN39/T$4*100000*T$3</f>
        <v>0</v>
      </c>
      <c r="U36" s="325">
        <f>Data!AO39/U$4*100000*U$3</f>
        <v>0</v>
      </c>
      <c r="V36" s="325">
        <f>Data!AP39/V$4*100000*V$3</f>
        <v>0</v>
      </c>
      <c r="W36" s="325">
        <f>Data!AQ39/W$4*100000*W$3</f>
        <v>0</v>
      </c>
      <c r="X36" s="325">
        <f>Data!AR39/X$4*100000*X$3</f>
        <v>0</v>
      </c>
      <c r="Y36" s="325">
        <f>Data!AS39/Y$4*100000*Y$3</f>
        <v>0</v>
      </c>
      <c r="Z36" s="325">
        <f>Data!AT39/Z$4*100000*Z$3</f>
        <v>0</v>
      </c>
      <c r="AA36" s="325">
        <f>Data!AU39/AA$4*100000*AA$3</f>
        <v>0</v>
      </c>
      <c r="AB36" s="325">
        <f>Data!AV39/AB$4*100000*AB$3</f>
        <v>14679.514737184261</v>
      </c>
      <c r="AC36" s="325">
        <f>Data!AW39/AC$4*100000*AC$3</f>
        <v>0</v>
      </c>
      <c r="AD36" s="325">
        <f>Data!AX39/AD$4*100000*AD$3</f>
        <v>0</v>
      </c>
      <c r="AE36" s="325">
        <f>Data!AY39/AE$4*100000*AE$3</f>
        <v>6226.58544431876</v>
      </c>
      <c r="AF36" s="325">
        <f>Data!AZ39/AF$4*100000*AF$3</f>
        <v>0</v>
      </c>
      <c r="AG36" s="325">
        <f>Data!BA39/AG$4*100000*AG$3</f>
        <v>6987.9981132405092</v>
      </c>
      <c r="AH36" s="325">
        <f>Data!BB39/AH$4*100000*AH$3</f>
        <v>6340.0819983938454</v>
      </c>
      <c r="AI36" s="325">
        <f>Data!BC39/AI$4*100000*AI$3</f>
        <v>0</v>
      </c>
      <c r="AJ36" s="325">
        <f>Data!BD39/AJ$4*100000*AJ$3</f>
        <v>8036.6471108253636</v>
      </c>
      <c r="AK36" s="325">
        <f>Data!BE39/AK$4*100000*AK$3</f>
        <v>13105.301094292641</v>
      </c>
      <c r="AL36" s="333" t="s">
        <v>353</v>
      </c>
      <c r="AM36" s="325">
        <f t="shared" si="3"/>
        <v>36772.192185931912</v>
      </c>
      <c r="AN36" s="325">
        <f>Data!AN39/AN$4*100000*AN$3</f>
        <v>0</v>
      </c>
      <c r="AO36" s="325">
        <f>Data!AO39/AO$4*100000*AO$3</f>
        <v>0</v>
      </c>
      <c r="AP36" s="325">
        <f>Data!AP39/AP$4*100000*AP$3</f>
        <v>0</v>
      </c>
      <c r="AQ36" s="325">
        <f>Data!AQ39/AQ$4*100000*AQ$3</f>
        <v>0</v>
      </c>
      <c r="AR36" s="325">
        <f>Data!AR39/AR$4*100000*AR$3</f>
        <v>0</v>
      </c>
      <c r="AS36" s="325">
        <f>Data!AS39/AS$4*100000*AS$3</f>
        <v>0</v>
      </c>
      <c r="AT36" s="325">
        <f>Data!AT39/AT$4*100000*AT$3</f>
        <v>0</v>
      </c>
      <c r="AU36" s="325">
        <f>Data!AU39/AU$4*100000*AU$3</f>
        <v>0</v>
      </c>
      <c r="AV36" s="325">
        <f>Data!AV39/AV$4*100000*AV$3</f>
        <v>12582.441203300796</v>
      </c>
      <c r="AW36" s="325">
        <f>Data!AW39/AW$4*100000*AW$3</f>
        <v>0</v>
      </c>
      <c r="AX36" s="325">
        <f>Data!AX39/AX$4*100000*AX$3</f>
        <v>0</v>
      </c>
      <c r="AY36" s="325">
        <f>Data!AY39/AY$4*100000*AY$3</f>
        <v>4151.0569628791736</v>
      </c>
      <c r="AZ36" s="325">
        <f>Data!AZ39/AZ$4*100000*AZ$3</f>
        <v>0</v>
      </c>
      <c r="BA36" s="325">
        <f>Data!BA39/BA$4*100000*BA$3</f>
        <v>5240.9985849303821</v>
      </c>
      <c r="BB36" s="325">
        <f>Data!BB39/BB$4*100000*BB$3</f>
        <v>4226.7213322625639</v>
      </c>
      <c r="BC36" s="325">
        <f>Data!BC39/BC$4*100000*BC$3</f>
        <v>0</v>
      </c>
      <c r="BD36" s="325">
        <f>Data!BD39/BD$4*100000*BD$3</f>
        <v>4018.3235554126818</v>
      </c>
      <c r="BE36" s="325">
        <f>Data!BE39/BE$4*100000*BE$3</f>
        <v>6552.6505471463206</v>
      </c>
    </row>
    <row r="37" spans="1:57" ht="12" customHeight="1">
      <c r="A37" s="30"/>
      <c r="B37" s="145" t="str">
        <f>UPPER(LEFT(TRIM(Data!B40),1)) &amp; MID(TRIM(Data!B40),2,50)</f>
        <v>Ne Hodžkino limfomos</v>
      </c>
      <c r="C37" s="145" t="str">
        <f>Data!C40</f>
        <v>C82-C85</v>
      </c>
      <c r="D37" s="146">
        <f>Data!E40</f>
        <v>74</v>
      </c>
      <c r="E37" s="147">
        <f t="shared" si="5"/>
        <v>5.5309238436632056</v>
      </c>
      <c r="F37" s="148">
        <f t="shared" si="6"/>
        <v>4.5461876372155201</v>
      </c>
      <c r="G37" s="148">
        <f t="shared" si="7"/>
        <v>3.0552063912011858</v>
      </c>
      <c r="H37" s="58"/>
      <c r="I37" s="58"/>
      <c r="J37" s="58"/>
      <c r="K37" s="58"/>
      <c r="L37" s="58"/>
      <c r="M37" s="58"/>
      <c r="N37" s="58"/>
      <c r="O37" s="58"/>
      <c r="P37" s="58"/>
      <c r="Q37" s="317"/>
      <c r="R37" s="333" t="s">
        <v>353</v>
      </c>
      <c r="S37" s="325">
        <f t="shared" si="2"/>
        <v>454618.76372155198</v>
      </c>
      <c r="T37" s="325">
        <f>Data!AN40/T$4*100000*T$3</f>
        <v>0</v>
      </c>
      <c r="U37" s="325">
        <f>Data!AO40/U$4*100000*U$3</f>
        <v>0</v>
      </c>
      <c r="V37" s="325">
        <f>Data!AP40/V$4*100000*V$3</f>
        <v>0</v>
      </c>
      <c r="W37" s="325">
        <f>Data!AQ40/W$4*100000*W$3</f>
        <v>0</v>
      </c>
      <c r="X37" s="325">
        <f>Data!AR40/X$4*100000*X$3</f>
        <v>0</v>
      </c>
      <c r="Y37" s="325">
        <f>Data!AS40/Y$4*100000*Y$3</f>
        <v>0</v>
      </c>
      <c r="Z37" s="325">
        <f>Data!AT40/Z$4*100000*Z$3</f>
        <v>7749.4492355721868</v>
      </c>
      <c r="AA37" s="325">
        <f>Data!AU40/AA$4*100000*AA$3</f>
        <v>24093.897359997245</v>
      </c>
      <c r="AB37" s="325">
        <f>Data!AV40/AB$4*100000*AB$3</f>
        <v>0</v>
      </c>
      <c r="AC37" s="325">
        <f>Data!AW40/AC$4*100000*AC$3</f>
        <v>0</v>
      </c>
      <c r="AD37" s="325">
        <f>Data!AX40/AD$4*100000*AD$3</f>
        <v>33101.30892032988</v>
      </c>
      <c r="AE37" s="325">
        <f>Data!AY40/AE$4*100000*AE$3</f>
        <v>31132.9272215938</v>
      </c>
      <c r="AF37" s="325">
        <f>Data!AZ40/AF$4*100000*AF$3</f>
        <v>68628.527506313825</v>
      </c>
      <c r="AG37" s="325">
        <f>Data!BA40/AG$4*100000*AG$3</f>
        <v>97831.97358536713</v>
      </c>
      <c r="AH37" s="325">
        <f>Data!BB40/AH$4*100000*AH$3</f>
        <v>57060.737985544612</v>
      </c>
      <c r="AI37" s="325">
        <f>Data!BC40/AI$4*100000*AI$3</f>
        <v>30360.531309297916</v>
      </c>
      <c r="AJ37" s="325">
        <f>Data!BD40/AJ$4*100000*AJ$3</f>
        <v>52238.206220364867</v>
      </c>
      <c r="AK37" s="325">
        <f>Data!BE40/AK$4*100000*AK$3</f>
        <v>52421.204377170565</v>
      </c>
      <c r="AL37" s="333" t="s">
        <v>353</v>
      </c>
      <c r="AM37" s="325">
        <f t="shared" si="3"/>
        <v>305520.63912011858</v>
      </c>
      <c r="AN37" s="325">
        <f>Data!AN40/AN$4*100000*AN$3</f>
        <v>0</v>
      </c>
      <c r="AO37" s="325">
        <f>Data!AO40/AO$4*100000*AO$3</f>
        <v>0</v>
      </c>
      <c r="AP37" s="325">
        <f>Data!AP40/AP$4*100000*AP$3</f>
        <v>0</v>
      </c>
      <c r="AQ37" s="325">
        <f>Data!AQ40/AQ$4*100000*AQ$3</f>
        <v>0</v>
      </c>
      <c r="AR37" s="325">
        <f>Data!AR40/AR$4*100000*AR$3</f>
        <v>0</v>
      </c>
      <c r="AS37" s="325">
        <f>Data!AS40/AS$4*100000*AS$3</f>
        <v>0</v>
      </c>
      <c r="AT37" s="325">
        <f>Data!AT40/AT$4*100000*AT$3</f>
        <v>6642.3850590618749</v>
      </c>
      <c r="AU37" s="325">
        <f>Data!AU40/AU$4*100000*AU$3</f>
        <v>20651.91202285478</v>
      </c>
      <c r="AV37" s="325">
        <f>Data!AV40/AV$4*100000*AV$3</f>
        <v>0</v>
      </c>
      <c r="AW37" s="325">
        <f>Data!AW40/AW$4*100000*AW$3</f>
        <v>0</v>
      </c>
      <c r="AX37" s="325">
        <f>Data!AX40/AX$4*100000*AX$3</f>
        <v>23643.792085949914</v>
      </c>
      <c r="AY37" s="325">
        <f>Data!AY40/AY$4*100000*AY$3</f>
        <v>20755.284814395869</v>
      </c>
      <c r="AZ37" s="325">
        <f>Data!AZ40/AZ$4*100000*AZ$3</f>
        <v>54902.822005051057</v>
      </c>
      <c r="BA37" s="325">
        <f>Data!BA40/BA$4*100000*BA$3</f>
        <v>73373.980189025344</v>
      </c>
      <c r="BB37" s="325">
        <f>Data!BB40/BB$4*100000*BB$3</f>
        <v>38040.491990363073</v>
      </c>
      <c r="BC37" s="325">
        <f>Data!BC40/BC$4*100000*BC$3</f>
        <v>15180.265654648958</v>
      </c>
      <c r="BD37" s="325">
        <f>Data!BD40/BD$4*100000*BD$3</f>
        <v>26119.103110182434</v>
      </c>
      <c r="BE37" s="325">
        <f>Data!BE40/BE$4*100000*BE$3</f>
        <v>26210.602188585282</v>
      </c>
    </row>
    <row r="38" spans="1:57" ht="12" customHeight="1">
      <c r="A38" s="30"/>
      <c r="B38" s="150" t="str">
        <f>UPPER(LEFT(TRIM(Data!B41),1)) &amp; MID(TRIM(Data!B41),2,50)</f>
        <v>Mielominės ligos</v>
      </c>
      <c r="C38" s="129" t="str">
        <f>Data!C41</f>
        <v>C90</v>
      </c>
      <c r="D38" s="142">
        <f>Data!E41</f>
        <v>46</v>
      </c>
      <c r="E38" s="131">
        <f t="shared" si="5"/>
        <v>3.438141848763614</v>
      </c>
      <c r="F38" s="132">
        <f t="shared" si="6"/>
        <v>2.7369031088094031</v>
      </c>
      <c r="G38" s="133">
        <f t="shared" si="7"/>
        <v>1.7152551274460517</v>
      </c>
      <c r="H38" s="58"/>
      <c r="I38" s="58"/>
      <c r="J38" s="58"/>
      <c r="K38" s="58"/>
      <c r="L38" s="58"/>
      <c r="M38" s="58"/>
      <c r="N38" s="58"/>
      <c r="O38" s="58"/>
      <c r="P38" s="58"/>
      <c r="Q38" s="317"/>
      <c r="R38" s="333" t="s">
        <v>353</v>
      </c>
      <c r="S38" s="325">
        <f t="shared" si="2"/>
        <v>273690.31088094029</v>
      </c>
      <c r="T38" s="325">
        <f>Data!AN41/T$4*100000*T$3</f>
        <v>0</v>
      </c>
      <c r="U38" s="325">
        <f>Data!AO41/U$4*100000*U$3</f>
        <v>0</v>
      </c>
      <c r="V38" s="325">
        <f>Data!AP41/V$4*100000*V$3</f>
        <v>0</v>
      </c>
      <c r="W38" s="325">
        <f>Data!AQ41/W$4*100000*W$3</f>
        <v>0</v>
      </c>
      <c r="X38" s="325">
        <f>Data!AR41/X$4*100000*X$3</f>
        <v>0</v>
      </c>
      <c r="Y38" s="325">
        <f>Data!AS41/Y$4*100000*Y$3</f>
        <v>0</v>
      </c>
      <c r="Z38" s="325">
        <f>Data!AT41/Z$4*100000*Z$3</f>
        <v>0</v>
      </c>
      <c r="AA38" s="325">
        <f>Data!AU41/AA$4*100000*AA$3</f>
        <v>0</v>
      </c>
      <c r="AB38" s="325">
        <f>Data!AV41/AB$4*100000*AB$3</f>
        <v>0</v>
      </c>
      <c r="AC38" s="325">
        <f>Data!AW41/AC$4*100000*AC$3</f>
        <v>7071.4927921284179</v>
      </c>
      <c r="AD38" s="325">
        <f>Data!AX41/AD$4*100000*AD$3</f>
        <v>13240.523568131952</v>
      </c>
      <c r="AE38" s="325">
        <f>Data!AY41/AE$4*100000*AE$3</f>
        <v>24906.34177727504</v>
      </c>
      <c r="AF38" s="325">
        <f>Data!AZ41/AF$4*100000*AF$3</f>
        <v>13725.705501262766</v>
      </c>
      <c r="AG38" s="325">
        <f>Data!BA41/AG$4*100000*AG$3</f>
        <v>41927.988679443064</v>
      </c>
      <c r="AH38" s="325">
        <f>Data!BB41/AH$4*100000*AH$3</f>
        <v>63400.819983938454</v>
      </c>
      <c r="AI38" s="325">
        <f>Data!BC41/AI$4*100000*AI$3</f>
        <v>35420.619860847568</v>
      </c>
      <c r="AJ38" s="325">
        <f>Data!BD41/AJ$4*100000*AJ$3</f>
        <v>28128.26488788877</v>
      </c>
      <c r="AK38" s="325">
        <f>Data!BE41/AK$4*100000*AK$3</f>
        <v>45868.553830024248</v>
      </c>
      <c r="AL38" s="333" t="s">
        <v>353</v>
      </c>
      <c r="AM38" s="325">
        <f t="shared" si="3"/>
        <v>171525.51274460516</v>
      </c>
      <c r="AN38" s="325">
        <f>Data!AN41/AN$4*100000*AN$3</f>
        <v>0</v>
      </c>
      <c r="AO38" s="325">
        <f>Data!AO41/AO$4*100000*AO$3</f>
        <v>0</v>
      </c>
      <c r="AP38" s="325">
        <f>Data!AP41/AP$4*100000*AP$3</f>
        <v>0</v>
      </c>
      <c r="AQ38" s="325">
        <f>Data!AQ41/AQ$4*100000*AQ$3</f>
        <v>0</v>
      </c>
      <c r="AR38" s="325">
        <f>Data!AR41/AR$4*100000*AR$3</f>
        <v>0</v>
      </c>
      <c r="AS38" s="325">
        <f>Data!AS41/AS$4*100000*AS$3</f>
        <v>0</v>
      </c>
      <c r="AT38" s="325">
        <f>Data!AT41/AT$4*100000*AT$3</f>
        <v>0</v>
      </c>
      <c r="AU38" s="325">
        <f>Data!AU41/AU$4*100000*AU$3</f>
        <v>0</v>
      </c>
      <c r="AV38" s="325">
        <f>Data!AV41/AV$4*100000*AV$3</f>
        <v>0</v>
      </c>
      <c r="AW38" s="325">
        <f>Data!AW41/AW$4*100000*AW$3</f>
        <v>6061.2795361100725</v>
      </c>
      <c r="AX38" s="325">
        <f>Data!AX41/AX$4*100000*AX$3</f>
        <v>9457.5168343799651</v>
      </c>
      <c r="AY38" s="325">
        <f>Data!AY41/AY$4*100000*AY$3</f>
        <v>16604.227851516694</v>
      </c>
      <c r="AZ38" s="325">
        <f>Data!AZ41/AZ$4*100000*AZ$3</f>
        <v>10980.564401010213</v>
      </c>
      <c r="BA38" s="325">
        <f>Data!BA41/BA$4*100000*BA$3</f>
        <v>31445.991509582294</v>
      </c>
      <c r="BB38" s="325">
        <f>Data!BB41/BB$4*100000*BB$3</f>
        <v>42267.213322625634</v>
      </c>
      <c r="BC38" s="325">
        <f>Data!BC41/BC$4*100000*BC$3</f>
        <v>17710.309930423784</v>
      </c>
      <c r="BD38" s="325">
        <f>Data!BD41/BD$4*100000*BD$3</f>
        <v>14064.132443944385</v>
      </c>
      <c r="BE38" s="325">
        <f>Data!BE41/BE$4*100000*BE$3</f>
        <v>22934.276915012124</v>
      </c>
    </row>
    <row r="39" spans="1:57" ht="12" customHeight="1">
      <c r="A39" s="30"/>
      <c r="B39" s="145" t="str">
        <f>UPPER(LEFT(TRIM(Data!B42),1)) &amp; MID(TRIM(Data!B42),2,50)</f>
        <v>Leukemijos</v>
      </c>
      <c r="C39" s="145" t="str">
        <f>Data!C42</f>
        <v>C91-C95</v>
      </c>
      <c r="D39" s="146">
        <f>Data!E42</f>
        <v>134</v>
      </c>
      <c r="E39" s="147">
        <f t="shared" si="5"/>
        <v>10.015456689876617</v>
      </c>
      <c r="F39" s="148">
        <f t="shared" si="6"/>
        <v>7.9772347411951658</v>
      </c>
      <c r="G39" s="148">
        <f t="shared" si="7"/>
        <v>5.2052177378488169</v>
      </c>
      <c r="H39" s="58"/>
      <c r="I39" s="58"/>
      <c r="J39" s="58"/>
      <c r="K39" s="58"/>
      <c r="L39" s="58"/>
      <c r="M39" s="58"/>
      <c r="N39" s="58"/>
      <c r="O39" s="58"/>
      <c r="P39" s="58"/>
      <c r="Q39" s="317"/>
      <c r="R39" s="333" t="s">
        <v>353</v>
      </c>
      <c r="S39" s="325">
        <f t="shared" si="2"/>
        <v>797723.47411951656</v>
      </c>
      <c r="T39" s="325">
        <f>Data!AN42/T$4*100000*T$3</f>
        <v>20668.897185154565</v>
      </c>
      <c r="U39" s="325">
        <f>Data!AO42/U$4*100000*U$3</f>
        <v>0</v>
      </c>
      <c r="V39" s="325">
        <f>Data!AP42/V$4*100000*V$3</f>
        <v>0</v>
      </c>
      <c r="W39" s="325">
        <f>Data!AQ42/W$4*100000*W$3</f>
        <v>0</v>
      </c>
      <c r="X39" s="325">
        <f>Data!AR42/X$4*100000*X$3</f>
        <v>0</v>
      </c>
      <c r="Y39" s="325">
        <f>Data!AS42/Y$4*100000*Y$3</f>
        <v>0</v>
      </c>
      <c r="Z39" s="325">
        <f>Data!AT42/Z$4*100000*Z$3</f>
        <v>7749.4492355721868</v>
      </c>
      <c r="AA39" s="325">
        <f>Data!AU42/AA$4*100000*AA$3</f>
        <v>16062.598239998164</v>
      </c>
      <c r="AB39" s="325">
        <f>Data!AV42/AB$4*100000*AB$3</f>
        <v>7339.7573685921307</v>
      </c>
      <c r="AC39" s="325">
        <f>Data!AW42/AC$4*100000*AC$3</f>
        <v>0</v>
      </c>
      <c r="AD39" s="325">
        <f>Data!AX42/AD$4*100000*AD$3</f>
        <v>39721.570704395846</v>
      </c>
      <c r="AE39" s="325">
        <f>Data!AY42/AE$4*100000*AE$3</f>
        <v>62265.8544431876</v>
      </c>
      <c r="AF39" s="325">
        <f>Data!AZ42/AF$4*100000*AF$3</f>
        <v>89217.085758207977</v>
      </c>
      <c r="AG39" s="325">
        <f>Data!BA42/AG$4*100000*AG$3</f>
        <v>83855.977358886128</v>
      </c>
      <c r="AH39" s="325">
        <f>Data!BB42/AH$4*100000*AH$3</f>
        <v>139481.80396466461</v>
      </c>
      <c r="AI39" s="325">
        <f>Data!BC42/AI$4*100000*AI$3</f>
        <v>131562.30234029095</v>
      </c>
      <c r="AJ39" s="325">
        <f>Data!BD42/AJ$4*100000*AJ$3</f>
        <v>88403.118219078999</v>
      </c>
      <c r="AK39" s="325">
        <f>Data!BE42/AK$4*100000*AK$3</f>
        <v>111395.05930148745</v>
      </c>
      <c r="AL39" s="333" t="s">
        <v>353</v>
      </c>
      <c r="AM39" s="325">
        <f t="shared" si="3"/>
        <v>520521.77378488169</v>
      </c>
      <c r="AN39" s="325">
        <f>Data!AN42/AN$4*100000*AN$3</f>
        <v>31003.345777731844</v>
      </c>
      <c r="AO39" s="325">
        <f>Data!AO42/AO$4*100000*AO$3</f>
        <v>0</v>
      </c>
      <c r="AP39" s="325">
        <f>Data!AP42/AP$4*100000*AP$3</f>
        <v>0</v>
      </c>
      <c r="AQ39" s="325">
        <f>Data!AQ42/AQ$4*100000*AQ$3</f>
        <v>0</v>
      </c>
      <c r="AR39" s="325">
        <f>Data!AR42/AR$4*100000*AR$3</f>
        <v>0</v>
      </c>
      <c r="AS39" s="325">
        <f>Data!AS42/AS$4*100000*AS$3</f>
        <v>0</v>
      </c>
      <c r="AT39" s="325">
        <f>Data!AT42/AT$4*100000*AT$3</f>
        <v>6642.3850590618749</v>
      </c>
      <c r="AU39" s="325">
        <f>Data!AU42/AU$4*100000*AU$3</f>
        <v>13767.941348569855</v>
      </c>
      <c r="AV39" s="325">
        <f>Data!AV42/AV$4*100000*AV$3</f>
        <v>6291.2206016503978</v>
      </c>
      <c r="AW39" s="325">
        <f>Data!AW42/AW$4*100000*AW$3</f>
        <v>0</v>
      </c>
      <c r="AX39" s="325">
        <f>Data!AX42/AX$4*100000*AX$3</f>
        <v>28372.550503139893</v>
      </c>
      <c r="AY39" s="325">
        <f>Data!AY42/AY$4*100000*AY$3</f>
        <v>41510.569628791738</v>
      </c>
      <c r="AZ39" s="325">
        <f>Data!AZ42/AZ$4*100000*AZ$3</f>
        <v>71373.668606566382</v>
      </c>
      <c r="BA39" s="325">
        <f>Data!BA42/BA$4*100000*BA$3</f>
        <v>62891.983019164589</v>
      </c>
      <c r="BB39" s="325">
        <f>Data!BB42/BB$4*100000*BB$3</f>
        <v>92987.869309776404</v>
      </c>
      <c r="BC39" s="325">
        <f>Data!BC42/BC$4*100000*BC$3</f>
        <v>65781.151170145473</v>
      </c>
      <c r="BD39" s="325">
        <f>Data!BD42/BD$4*100000*BD$3</f>
        <v>44201.559109539499</v>
      </c>
      <c r="BE39" s="325">
        <f>Data!BE42/BE$4*100000*BE$3</f>
        <v>55697.529650743723</v>
      </c>
    </row>
    <row r="40" spans="1:57" ht="12" customHeight="1">
      <c r="A40" s="30"/>
      <c r="B40" s="150" t="str">
        <f>UPPER(LEFT(TRIM(Data!B43),1)) &amp; MID(TRIM(Data!B43),2,50)</f>
        <v>Kiti limfinio, kraujodaros audinių</v>
      </c>
      <c r="C40" s="129" t="str">
        <f>Data!C43</f>
        <v>C88, C96</v>
      </c>
      <c r="D40" s="142">
        <f>Data!E43</f>
        <v>3</v>
      </c>
      <c r="E40" s="131">
        <f t="shared" si="5"/>
        <v>0.22422664231067049</v>
      </c>
      <c r="F40" s="132">
        <f t="shared" si="6"/>
        <v>0.1860073721193648</v>
      </c>
      <c r="G40" s="133">
        <f t="shared" si="7"/>
        <v>0.11047368134278369</v>
      </c>
      <c r="H40" s="58"/>
      <c r="I40" s="58"/>
      <c r="J40" s="58"/>
      <c r="K40" s="58"/>
      <c r="L40" s="58"/>
      <c r="M40" s="58"/>
      <c r="N40" s="58"/>
      <c r="O40" s="58"/>
      <c r="P40" s="58"/>
      <c r="Q40" s="317"/>
      <c r="R40" s="333" t="s">
        <v>353</v>
      </c>
      <c r="S40" s="325">
        <f t="shared" si="2"/>
        <v>18600.737211936481</v>
      </c>
      <c r="T40" s="325">
        <f>Data!AN43/T$4*100000*T$3</f>
        <v>0</v>
      </c>
      <c r="U40" s="325">
        <f>Data!AO43/U$4*100000*U$3</f>
        <v>0</v>
      </c>
      <c r="V40" s="325">
        <f>Data!AP43/V$4*100000*V$3</f>
        <v>0</v>
      </c>
      <c r="W40" s="325">
        <f>Data!AQ43/W$4*100000*W$3</f>
        <v>0</v>
      </c>
      <c r="X40" s="325">
        <f>Data!AR43/X$4*100000*X$3</f>
        <v>0</v>
      </c>
      <c r="Y40" s="325">
        <f>Data!AS43/Y$4*100000*Y$3</f>
        <v>0</v>
      </c>
      <c r="Z40" s="325">
        <f>Data!AT43/Z$4*100000*Z$3</f>
        <v>0</v>
      </c>
      <c r="AA40" s="325">
        <f>Data!AU43/AA$4*100000*AA$3</f>
        <v>0</v>
      </c>
      <c r="AB40" s="325">
        <f>Data!AV43/AB$4*100000*AB$3</f>
        <v>0</v>
      </c>
      <c r="AC40" s="325">
        <f>Data!AW43/AC$4*100000*AC$3</f>
        <v>0</v>
      </c>
      <c r="AD40" s="325">
        <f>Data!AX43/AD$4*100000*AD$3</f>
        <v>0</v>
      </c>
      <c r="AE40" s="325">
        <f>Data!AY43/AE$4*100000*AE$3</f>
        <v>0</v>
      </c>
      <c r="AF40" s="325">
        <f>Data!AZ43/AF$4*100000*AF$3</f>
        <v>0</v>
      </c>
      <c r="AG40" s="325">
        <f>Data!BA43/AG$4*100000*AG$3</f>
        <v>6987.9981132405092</v>
      </c>
      <c r="AH40" s="325">
        <f>Data!BB43/AH$4*100000*AH$3</f>
        <v>0</v>
      </c>
      <c r="AI40" s="325">
        <f>Data!BC43/AI$4*100000*AI$3</f>
        <v>5060.0885515496529</v>
      </c>
      <c r="AJ40" s="325">
        <f>Data!BD43/AJ$4*100000*AJ$3</f>
        <v>0</v>
      </c>
      <c r="AK40" s="325">
        <f>Data!BE43/AK$4*100000*AK$3</f>
        <v>6552.6505471463206</v>
      </c>
      <c r="AL40" s="333" t="s">
        <v>353</v>
      </c>
      <c r="AM40" s="325">
        <f t="shared" si="3"/>
        <v>11047.368134278369</v>
      </c>
      <c r="AN40" s="325">
        <f>Data!AN43/AN$4*100000*AN$3</f>
        <v>0</v>
      </c>
      <c r="AO40" s="325">
        <f>Data!AO43/AO$4*100000*AO$3</f>
        <v>0</v>
      </c>
      <c r="AP40" s="325">
        <f>Data!AP43/AP$4*100000*AP$3</f>
        <v>0</v>
      </c>
      <c r="AQ40" s="325">
        <f>Data!AQ43/AQ$4*100000*AQ$3</f>
        <v>0</v>
      </c>
      <c r="AR40" s="325">
        <f>Data!AR43/AR$4*100000*AR$3</f>
        <v>0</v>
      </c>
      <c r="AS40" s="325">
        <f>Data!AS43/AS$4*100000*AS$3</f>
        <v>0</v>
      </c>
      <c r="AT40" s="325">
        <f>Data!AT43/AT$4*100000*AT$3</f>
        <v>0</v>
      </c>
      <c r="AU40" s="325">
        <f>Data!AU43/AU$4*100000*AU$3</f>
        <v>0</v>
      </c>
      <c r="AV40" s="325">
        <f>Data!AV43/AV$4*100000*AV$3</f>
        <v>0</v>
      </c>
      <c r="AW40" s="325">
        <f>Data!AW43/AW$4*100000*AW$3</f>
        <v>0</v>
      </c>
      <c r="AX40" s="325">
        <f>Data!AX43/AX$4*100000*AX$3</f>
        <v>0</v>
      </c>
      <c r="AY40" s="325">
        <f>Data!AY43/AY$4*100000*AY$3</f>
        <v>0</v>
      </c>
      <c r="AZ40" s="325">
        <f>Data!AZ43/AZ$4*100000*AZ$3</f>
        <v>0</v>
      </c>
      <c r="BA40" s="325">
        <f>Data!BA43/BA$4*100000*BA$3</f>
        <v>5240.9985849303821</v>
      </c>
      <c r="BB40" s="325">
        <f>Data!BB43/BB$4*100000*BB$3</f>
        <v>0</v>
      </c>
      <c r="BC40" s="325">
        <f>Data!BC43/BC$4*100000*BC$3</f>
        <v>2530.0442757748265</v>
      </c>
      <c r="BD40" s="325">
        <f>Data!BD43/BD$4*100000*BD$3</f>
        <v>0</v>
      </c>
      <c r="BE40" s="325">
        <f>Data!BE43/BE$4*100000*BE$3</f>
        <v>3276.3252735731603</v>
      </c>
    </row>
    <row r="41" spans="1:57" ht="24" customHeight="1">
      <c r="A41" s="30"/>
      <c r="B41" s="138"/>
      <c r="C41" s="138"/>
      <c r="D41" s="139"/>
      <c r="E41" s="140"/>
      <c r="F41" s="141"/>
      <c r="G41" s="141"/>
      <c r="H41" s="58"/>
      <c r="I41" s="58"/>
      <c r="J41" s="58"/>
      <c r="K41" s="58"/>
      <c r="L41" s="58"/>
      <c r="M41" s="58"/>
      <c r="N41" s="58"/>
      <c r="O41" s="58"/>
      <c r="P41" s="58"/>
      <c r="Q41" s="317"/>
      <c r="R41" s="333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5"/>
      <c r="AK41" s="325"/>
      <c r="AL41" s="333"/>
      <c r="AM41" s="325"/>
      <c r="AN41" s="325"/>
      <c r="AO41" s="325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BD41" s="325"/>
      <c r="BE41" s="325"/>
    </row>
    <row r="42" spans="1:57" ht="12" customHeight="1">
      <c r="A42" s="30"/>
      <c r="B42" s="129" t="str">
        <f>UPPER(LEFT(TRIM(Data!B44),1)) &amp; MID(TRIM(Data!B44),2,50)</f>
        <v>Melanoma in situ</v>
      </c>
      <c r="C42" s="129" t="str">
        <f>Data!C44</f>
        <v>D03</v>
      </c>
      <c r="D42" s="142">
        <f>Data!E44</f>
        <v>0</v>
      </c>
      <c r="E42" s="143">
        <f t="shared" si="5"/>
        <v>0</v>
      </c>
      <c r="F42" s="133">
        <f t="shared" si="6"/>
        <v>0</v>
      </c>
      <c r="G42" s="133">
        <f t="shared" si="7"/>
        <v>0</v>
      </c>
      <c r="H42" s="58"/>
      <c r="I42" s="58"/>
      <c r="J42" s="58"/>
      <c r="K42" s="58"/>
      <c r="L42" s="58"/>
      <c r="M42" s="58"/>
      <c r="N42" s="58"/>
      <c r="O42" s="58"/>
      <c r="P42" s="58"/>
      <c r="Q42" s="317"/>
      <c r="R42" s="333" t="s">
        <v>353</v>
      </c>
      <c r="S42" s="325">
        <f t="shared" si="2"/>
        <v>0</v>
      </c>
      <c r="T42" s="325">
        <f>Data!AN44/T$4*100000*T$3</f>
        <v>0</v>
      </c>
      <c r="U42" s="325">
        <f>Data!AO44/U$4*100000*U$3</f>
        <v>0</v>
      </c>
      <c r="V42" s="325">
        <f>Data!AP44/V$4*100000*V$3</f>
        <v>0</v>
      </c>
      <c r="W42" s="325">
        <f>Data!AQ44/W$4*100000*W$3</f>
        <v>0</v>
      </c>
      <c r="X42" s="325">
        <f>Data!AR44/X$4*100000*X$3</f>
        <v>0</v>
      </c>
      <c r="Y42" s="325">
        <f>Data!AS44/Y$4*100000*Y$3</f>
        <v>0</v>
      </c>
      <c r="Z42" s="325">
        <f>Data!AT44/Z$4*100000*Z$3</f>
        <v>0</v>
      </c>
      <c r="AA42" s="325">
        <f>Data!AU44/AA$4*100000*AA$3</f>
        <v>0</v>
      </c>
      <c r="AB42" s="325">
        <f>Data!AV44/AB$4*100000*AB$3</f>
        <v>0</v>
      </c>
      <c r="AC42" s="325">
        <f>Data!AW44/AC$4*100000*AC$3</f>
        <v>0</v>
      </c>
      <c r="AD42" s="325">
        <f>Data!AX44/AD$4*100000*AD$3</f>
        <v>0</v>
      </c>
      <c r="AE42" s="325">
        <f>Data!AY44/AE$4*100000*AE$3</f>
        <v>0</v>
      </c>
      <c r="AF42" s="325">
        <f>Data!AZ44/AF$4*100000*AF$3</f>
        <v>0</v>
      </c>
      <c r="AG42" s="325">
        <f>Data!BA44/AG$4*100000*AG$3</f>
        <v>0</v>
      </c>
      <c r="AH42" s="325">
        <f>Data!BB44/AH$4*100000*AH$3</f>
        <v>0</v>
      </c>
      <c r="AI42" s="325">
        <f>Data!BC44/AI$4*100000*AI$3</f>
        <v>0</v>
      </c>
      <c r="AJ42" s="325">
        <f>Data!BD44/AJ$4*100000*AJ$3</f>
        <v>0</v>
      </c>
      <c r="AK42" s="325">
        <f>Data!BE44/AK$4*100000*AK$3</f>
        <v>0</v>
      </c>
      <c r="AL42" s="333" t="s">
        <v>353</v>
      </c>
      <c r="AM42" s="325">
        <f t="shared" si="3"/>
        <v>0</v>
      </c>
      <c r="AN42" s="325">
        <f>Data!AN44/AN$4*100000*AN$3</f>
        <v>0</v>
      </c>
      <c r="AO42" s="325">
        <f>Data!AO44/AO$4*100000*AO$3</f>
        <v>0</v>
      </c>
      <c r="AP42" s="325">
        <f>Data!AP44/AP$4*100000*AP$3</f>
        <v>0</v>
      </c>
      <c r="AQ42" s="325">
        <f>Data!AQ44/AQ$4*100000*AQ$3</f>
        <v>0</v>
      </c>
      <c r="AR42" s="325">
        <f>Data!AR44/AR$4*100000*AR$3</f>
        <v>0</v>
      </c>
      <c r="AS42" s="325">
        <f>Data!AS44/AS$4*100000*AS$3</f>
        <v>0</v>
      </c>
      <c r="AT42" s="325">
        <f>Data!AT44/AT$4*100000*AT$3</f>
        <v>0</v>
      </c>
      <c r="AU42" s="325">
        <f>Data!AU44/AU$4*100000*AU$3</f>
        <v>0</v>
      </c>
      <c r="AV42" s="325">
        <f>Data!AV44/AV$4*100000*AV$3</f>
        <v>0</v>
      </c>
      <c r="AW42" s="325">
        <f>Data!AW44/AW$4*100000*AW$3</f>
        <v>0</v>
      </c>
      <c r="AX42" s="325">
        <f>Data!AX44/AX$4*100000*AX$3</f>
        <v>0</v>
      </c>
      <c r="AY42" s="325">
        <f>Data!AY44/AY$4*100000*AY$3</f>
        <v>0</v>
      </c>
      <c r="AZ42" s="325">
        <f>Data!AZ44/AZ$4*100000*AZ$3</f>
        <v>0</v>
      </c>
      <c r="BA42" s="325">
        <f>Data!BA44/BA$4*100000*BA$3</f>
        <v>0</v>
      </c>
      <c r="BB42" s="325">
        <f>Data!BB44/BB$4*100000*BB$3</f>
        <v>0</v>
      </c>
      <c r="BC42" s="325">
        <f>Data!BC44/BC$4*100000*BC$3</f>
        <v>0</v>
      </c>
      <c r="BD42" s="325">
        <f>Data!BD44/BD$4*100000*BD$3</f>
        <v>0</v>
      </c>
      <c r="BE42" s="325">
        <f>Data!BE44/BE$4*100000*BE$3</f>
        <v>0</v>
      </c>
    </row>
    <row r="43" spans="1:57" ht="12" customHeight="1">
      <c r="A43" s="30"/>
      <c r="B43" s="134" t="str">
        <f>UPPER(LEFT(TRIM(Data!B45),1)) &amp; MID(TRIM(Data!B45),2,50)</f>
        <v>Krūties navikai in situ</v>
      </c>
      <c r="C43" s="134" t="str">
        <f>Data!C45</f>
        <v>D05</v>
      </c>
      <c r="D43" s="135">
        <f>Data!E45</f>
        <v>0</v>
      </c>
      <c r="E43" s="136">
        <f t="shared" si="5"/>
        <v>0</v>
      </c>
      <c r="F43" s="137">
        <f t="shared" si="6"/>
        <v>0</v>
      </c>
      <c r="G43" s="137">
        <f t="shared" si="7"/>
        <v>0</v>
      </c>
      <c r="H43" s="58"/>
      <c r="I43" s="58"/>
      <c r="J43" s="58"/>
      <c r="K43" s="58"/>
      <c r="L43" s="58"/>
      <c r="M43" s="58"/>
      <c r="N43" s="58"/>
      <c r="O43" s="58"/>
      <c r="P43" s="58"/>
      <c r="Q43" s="317"/>
      <c r="R43" s="333" t="s">
        <v>353</v>
      </c>
      <c r="S43" s="325">
        <f t="shared" si="2"/>
        <v>0</v>
      </c>
      <c r="T43" s="325">
        <f>Data!AN45/T$4*100000*T$3</f>
        <v>0</v>
      </c>
      <c r="U43" s="325">
        <f>Data!AO45/U$4*100000*U$3</f>
        <v>0</v>
      </c>
      <c r="V43" s="325">
        <f>Data!AP45/V$4*100000*V$3</f>
        <v>0</v>
      </c>
      <c r="W43" s="325">
        <f>Data!AQ45/W$4*100000*W$3</f>
        <v>0</v>
      </c>
      <c r="X43" s="325">
        <f>Data!AR45/X$4*100000*X$3</f>
        <v>0</v>
      </c>
      <c r="Y43" s="325">
        <f>Data!AS45/Y$4*100000*Y$3</f>
        <v>0</v>
      </c>
      <c r="Z43" s="325">
        <f>Data!AT45/Z$4*100000*Z$3</f>
        <v>0</v>
      </c>
      <c r="AA43" s="325">
        <f>Data!AU45/AA$4*100000*AA$3</f>
        <v>0</v>
      </c>
      <c r="AB43" s="325">
        <f>Data!AV45/AB$4*100000*AB$3</f>
        <v>0</v>
      </c>
      <c r="AC43" s="325">
        <f>Data!AW45/AC$4*100000*AC$3</f>
        <v>0</v>
      </c>
      <c r="AD43" s="325">
        <f>Data!AX45/AD$4*100000*AD$3</f>
        <v>0</v>
      </c>
      <c r="AE43" s="325">
        <f>Data!AY45/AE$4*100000*AE$3</f>
        <v>0</v>
      </c>
      <c r="AF43" s="325">
        <f>Data!AZ45/AF$4*100000*AF$3</f>
        <v>0</v>
      </c>
      <c r="AG43" s="325">
        <f>Data!BA45/AG$4*100000*AG$3</f>
        <v>0</v>
      </c>
      <c r="AH43" s="325">
        <f>Data!BB45/AH$4*100000*AH$3</f>
        <v>0</v>
      </c>
      <c r="AI43" s="325">
        <f>Data!BC45/AI$4*100000*AI$3</f>
        <v>0</v>
      </c>
      <c r="AJ43" s="325">
        <f>Data!BD45/AJ$4*100000*AJ$3</f>
        <v>0</v>
      </c>
      <c r="AK43" s="325">
        <f>Data!BE45/AK$4*100000*AK$3</f>
        <v>0</v>
      </c>
      <c r="AL43" s="333" t="s">
        <v>353</v>
      </c>
      <c r="AM43" s="325">
        <f t="shared" si="3"/>
        <v>0</v>
      </c>
      <c r="AN43" s="325">
        <f>Data!AN45/AN$4*100000*AN$3</f>
        <v>0</v>
      </c>
      <c r="AO43" s="325">
        <f>Data!AO45/AO$4*100000*AO$3</f>
        <v>0</v>
      </c>
      <c r="AP43" s="325">
        <f>Data!AP45/AP$4*100000*AP$3</f>
        <v>0</v>
      </c>
      <c r="AQ43" s="325">
        <f>Data!AQ45/AQ$4*100000*AQ$3</f>
        <v>0</v>
      </c>
      <c r="AR43" s="325">
        <f>Data!AR45/AR$4*100000*AR$3</f>
        <v>0</v>
      </c>
      <c r="AS43" s="325">
        <f>Data!AS45/AS$4*100000*AS$3</f>
        <v>0</v>
      </c>
      <c r="AT43" s="325">
        <f>Data!AT45/AT$4*100000*AT$3</f>
        <v>0</v>
      </c>
      <c r="AU43" s="325">
        <f>Data!AU45/AU$4*100000*AU$3</f>
        <v>0</v>
      </c>
      <c r="AV43" s="325">
        <f>Data!AV45/AV$4*100000*AV$3</f>
        <v>0</v>
      </c>
      <c r="AW43" s="325">
        <f>Data!AW45/AW$4*100000*AW$3</f>
        <v>0</v>
      </c>
      <c r="AX43" s="325">
        <f>Data!AX45/AX$4*100000*AX$3</f>
        <v>0</v>
      </c>
      <c r="AY43" s="325">
        <f>Data!AY45/AY$4*100000*AY$3</f>
        <v>0</v>
      </c>
      <c r="AZ43" s="325">
        <f>Data!AZ45/AZ$4*100000*AZ$3</f>
        <v>0</v>
      </c>
      <c r="BA43" s="325">
        <f>Data!BA45/BA$4*100000*BA$3</f>
        <v>0</v>
      </c>
      <c r="BB43" s="325">
        <f>Data!BB45/BB$4*100000*BB$3</f>
        <v>0</v>
      </c>
      <c r="BC43" s="325">
        <f>Data!BC45/BC$4*100000*BC$3</f>
        <v>0</v>
      </c>
      <c r="BD43" s="325">
        <f>Data!BD45/BD$4*100000*BD$3</f>
        <v>0</v>
      </c>
      <c r="BE43" s="325">
        <f>Data!BE45/BE$4*100000*BE$3</f>
        <v>0</v>
      </c>
    </row>
    <row r="44" spans="1:57" ht="12" customHeight="1">
      <c r="A44" s="30"/>
      <c r="B44" s="129" t="str">
        <f>UPPER(LEFT(TRIM(Data!B47),1)) &amp; MID(TRIM(Data!B47),2,50)</f>
        <v>Šlapimo pūslės in situ</v>
      </c>
      <c r="C44" s="129" t="str">
        <f>Data!C47</f>
        <v>D09.0</v>
      </c>
      <c r="D44" s="142">
        <f>Data!E47</f>
        <v>0</v>
      </c>
      <c r="E44" s="143">
        <f t="shared" si="5"/>
        <v>0</v>
      </c>
      <c r="F44" s="133">
        <f t="shared" si="6"/>
        <v>0</v>
      </c>
      <c r="G44" s="133">
        <f t="shared" si="7"/>
        <v>0</v>
      </c>
      <c r="H44" s="58"/>
      <c r="I44" s="58"/>
      <c r="J44" s="58"/>
      <c r="K44" s="58"/>
      <c r="L44" s="58"/>
      <c r="M44" s="58"/>
      <c r="N44" s="58"/>
      <c r="O44" s="58"/>
      <c r="P44" s="58"/>
      <c r="Q44" s="317"/>
      <c r="R44" s="333" t="s">
        <v>353</v>
      </c>
      <c r="S44" s="325">
        <f t="shared" si="2"/>
        <v>0</v>
      </c>
      <c r="T44" s="325">
        <f>Data!AN47/T$4*100000*T$3</f>
        <v>0</v>
      </c>
      <c r="U44" s="325">
        <f>Data!AO47/U$4*100000*U$3</f>
        <v>0</v>
      </c>
      <c r="V44" s="325">
        <f>Data!AP47/V$4*100000*V$3</f>
        <v>0</v>
      </c>
      <c r="W44" s="325">
        <f>Data!AQ47/W$4*100000*W$3</f>
        <v>0</v>
      </c>
      <c r="X44" s="325">
        <f>Data!AR47/X$4*100000*X$3</f>
        <v>0</v>
      </c>
      <c r="Y44" s="325">
        <f>Data!AS47/Y$4*100000*Y$3</f>
        <v>0</v>
      </c>
      <c r="Z44" s="325">
        <f>Data!AT47/Z$4*100000*Z$3</f>
        <v>0</v>
      </c>
      <c r="AA44" s="325">
        <f>Data!AU47/AA$4*100000*AA$3</f>
        <v>0</v>
      </c>
      <c r="AB44" s="325">
        <f>Data!AV47/AB$4*100000*AB$3</f>
        <v>0</v>
      </c>
      <c r="AC44" s="325">
        <f>Data!AW47/AC$4*100000*AC$3</f>
        <v>0</v>
      </c>
      <c r="AD44" s="325">
        <f>Data!AX47/AD$4*100000*AD$3</f>
        <v>0</v>
      </c>
      <c r="AE44" s="325">
        <f>Data!AY47/AE$4*100000*AE$3</f>
        <v>0</v>
      </c>
      <c r="AF44" s="325">
        <f>Data!AZ47/AF$4*100000*AF$3</f>
        <v>0</v>
      </c>
      <c r="AG44" s="325">
        <f>Data!BA47/AG$4*100000*AG$3</f>
        <v>0</v>
      </c>
      <c r="AH44" s="325">
        <f>Data!BB47/AH$4*100000*AH$3</f>
        <v>0</v>
      </c>
      <c r="AI44" s="325">
        <f>Data!BC47/AI$4*100000*AI$3</f>
        <v>0</v>
      </c>
      <c r="AJ44" s="325">
        <f>Data!BD47/AJ$4*100000*AJ$3</f>
        <v>0</v>
      </c>
      <c r="AK44" s="325">
        <f>Data!BE47/AK$4*100000*AK$3</f>
        <v>0</v>
      </c>
      <c r="AL44" s="333" t="s">
        <v>353</v>
      </c>
      <c r="AM44" s="325">
        <f t="shared" si="3"/>
        <v>0</v>
      </c>
      <c r="AN44" s="325">
        <f>Data!AN47/AN$4*100000*AN$3</f>
        <v>0</v>
      </c>
      <c r="AO44" s="325">
        <f>Data!AO47/AO$4*100000*AO$3</f>
        <v>0</v>
      </c>
      <c r="AP44" s="325">
        <f>Data!AP47/AP$4*100000*AP$3</f>
        <v>0</v>
      </c>
      <c r="AQ44" s="325">
        <f>Data!AQ47/AQ$4*100000*AQ$3</f>
        <v>0</v>
      </c>
      <c r="AR44" s="325">
        <f>Data!AR47/AR$4*100000*AR$3</f>
        <v>0</v>
      </c>
      <c r="AS44" s="325">
        <f>Data!AS47/AS$4*100000*AS$3</f>
        <v>0</v>
      </c>
      <c r="AT44" s="325">
        <f>Data!AT47/AT$4*100000*AT$3</f>
        <v>0</v>
      </c>
      <c r="AU44" s="325">
        <f>Data!AU47/AU$4*100000*AU$3</f>
        <v>0</v>
      </c>
      <c r="AV44" s="325">
        <f>Data!AV47/AV$4*100000*AV$3</f>
        <v>0</v>
      </c>
      <c r="AW44" s="325">
        <f>Data!AW47/AW$4*100000*AW$3</f>
        <v>0</v>
      </c>
      <c r="AX44" s="325">
        <f>Data!AX47/AX$4*100000*AX$3</f>
        <v>0</v>
      </c>
      <c r="AY44" s="325">
        <f>Data!AY47/AY$4*100000*AY$3</f>
        <v>0</v>
      </c>
      <c r="AZ44" s="325">
        <f>Data!AZ47/AZ$4*100000*AZ$3</f>
        <v>0</v>
      </c>
      <c r="BA44" s="325">
        <f>Data!BA47/BA$4*100000*BA$3</f>
        <v>0</v>
      </c>
      <c r="BB44" s="325">
        <f>Data!BB47/BB$4*100000*BB$3</f>
        <v>0</v>
      </c>
      <c r="BC44" s="325">
        <f>Data!BC47/BC$4*100000*BC$3</f>
        <v>0</v>
      </c>
      <c r="BD44" s="325">
        <f>Data!BD47/BD$4*100000*BD$3</f>
        <v>0</v>
      </c>
      <c r="BE44" s="325">
        <f>Data!BE47/BE$4*100000*BE$3</f>
        <v>0</v>
      </c>
    </row>
    <row r="45" spans="1:57" ht="12" customHeight="1">
      <c r="A45" s="30"/>
      <c r="B45" s="134" t="str">
        <f>UPPER(LEFT(TRIM(Data!B48),1)) &amp; MID(TRIM(Data!B48),2,50)</f>
        <v>Nervų sistemos gerybiniai navikai</v>
      </c>
      <c r="C45" s="134" t="str">
        <f>Data!C48</f>
        <v>D32, D33</v>
      </c>
      <c r="D45" s="135">
        <f>Data!E48</f>
        <v>12</v>
      </c>
      <c r="E45" s="136">
        <f t="shared" si="5"/>
        <v>0.89690656924268197</v>
      </c>
      <c r="F45" s="137">
        <f t="shared" si="6"/>
        <v>0.70978173770635899</v>
      </c>
      <c r="G45" s="137">
        <f t="shared" si="7"/>
        <v>0.43914489281144836</v>
      </c>
      <c r="H45" s="58"/>
      <c r="I45" s="58"/>
      <c r="J45" s="58"/>
      <c r="K45" s="58"/>
      <c r="L45" s="58"/>
      <c r="M45" s="58"/>
      <c r="N45" s="58"/>
      <c r="O45" s="58"/>
      <c r="P45" s="58"/>
      <c r="Q45" s="317"/>
      <c r="R45" s="333" t="s">
        <v>353</v>
      </c>
      <c r="S45" s="325">
        <f t="shared" si="2"/>
        <v>70978.173770635898</v>
      </c>
      <c r="T45" s="325">
        <f>Data!AN48/T$4*100000*T$3</f>
        <v>0</v>
      </c>
      <c r="U45" s="325">
        <f>Data!AO48/U$4*100000*U$3</f>
        <v>0</v>
      </c>
      <c r="V45" s="325">
        <f>Data!AP48/V$4*100000*V$3</f>
        <v>0</v>
      </c>
      <c r="W45" s="325">
        <f>Data!AQ48/W$4*100000*W$3</f>
        <v>0</v>
      </c>
      <c r="X45" s="325">
        <f>Data!AR48/X$4*100000*X$3</f>
        <v>0</v>
      </c>
      <c r="Y45" s="325">
        <f>Data!AS48/Y$4*100000*Y$3</f>
        <v>0</v>
      </c>
      <c r="Z45" s="325">
        <f>Data!AT48/Z$4*100000*Z$3</f>
        <v>7749.4492355721868</v>
      </c>
      <c r="AA45" s="325">
        <f>Data!AU48/AA$4*100000*AA$3</f>
        <v>0</v>
      </c>
      <c r="AB45" s="325">
        <f>Data!AV48/AB$4*100000*AB$3</f>
        <v>0</v>
      </c>
      <c r="AC45" s="325">
        <f>Data!AW48/AC$4*100000*AC$3</f>
        <v>7071.4927921284179</v>
      </c>
      <c r="AD45" s="325">
        <f>Data!AX48/AD$4*100000*AD$3</f>
        <v>0</v>
      </c>
      <c r="AE45" s="325">
        <f>Data!AY48/AE$4*100000*AE$3</f>
        <v>12453.17088863752</v>
      </c>
      <c r="AF45" s="325">
        <f>Data!AZ48/AF$4*100000*AF$3</f>
        <v>0</v>
      </c>
      <c r="AG45" s="325">
        <f>Data!BA48/AG$4*100000*AG$3</f>
        <v>0</v>
      </c>
      <c r="AH45" s="325">
        <f>Data!BB48/AH$4*100000*AH$3</f>
        <v>6340.0819983938454</v>
      </c>
      <c r="AI45" s="325">
        <f>Data!BC48/AI$4*100000*AI$3</f>
        <v>20240.354206198612</v>
      </c>
      <c r="AJ45" s="325">
        <f>Data!BD48/AJ$4*100000*AJ$3</f>
        <v>4018.3235554126818</v>
      </c>
      <c r="AK45" s="325">
        <f>Data!BE48/AK$4*100000*AK$3</f>
        <v>13105.301094292641</v>
      </c>
      <c r="AL45" s="333" t="s">
        <v>353</v>
      </c>
      <c r="AM45" s="325">
        <f t="shared" si="3"/>
        <v>43914.489281144837</v>
      </c>
      <c r="AN45" s="325">
        <f>Data!AN48/AN$4*100000*AN$3</f>
        <v>0</v>
      </c>
      <c r="AO45" s="325">
        <f>Data!AO48/AO$4*100000*AO$3</f>
        <v>0</v>
      </c>
      <c r="AP45" s="325">
        <f>Data!AP48/AP$4*100000*AP$3</f>
        <v>0</v>
      </c>
      <c r="AQ45" s="325">
        <f>Data!AQ48/AQ$4*100000*AQ$3</f>
        <v>0</v>
      </c>
      <c r="AR45" s="325">
        <f>Data!AR48/AR$4*100000*AR$3</f>
        <v>0</v>
      </c>
      <c r="AS45" s="325">
        <f>Data!AS48/AS$4*100000*AS$3</f>
        <v>0</v>
      </c>
      <c r="AT45" s="325">
        <f>Data!AT48/AT$4*100000*AT$3</f>
        <v>6642.3850590618749</v>
      </c>
      <c r="AU45" s="325">
        <f>Data!AU48/AU$4*100000*AU$3</f>
        <v>0</v>
      </c>
      <c r="AV45" s="325">
        <f>Data!AV48/AV$4*100000*AV$3</f>
        <v>0</v>
      </c>
      <c r="AW45" s="325">
        <f>Data!AW48/AW$4*100000*AW$3</f>
        <v>6061.2795361100725</v>
      </c>
      <c r="AX45" s="325">
        <f>Data!AX48/AX$4*100000*AX$3</f>
        <v>0</v>
      </c>
      <c r="AY45" s="325">
        <f>Data!AY48/AY$4*100000*AY$3</f>
        <v>8302.1139257583472</v>
      </c>
      <c r="AZ45" s="325">
        <f>Data!AZ48/AZ$4*100000*AZ$3</f>
        <v>0</v>
      </c>
      <c r="BA45" s="325">
        <f>Data!BA48/BA$4*100000*BA$3</f>
        <v>0</v>
      </c>
      <c r="BB45" s="325">
        <f>Data!BB48/BB$4*100000*BB$3</f>
        <v>4226.7213322625639</v>
      </c>
      <c r="BC45" s="325">
        <f>Data!BC48/BC$4*100000*BC$3</f>
        <v>10120.177103099306</v>
      </c>
      <c r="BD45" s="325">
        <f>Data!BD48/BD$4*100000*BD$3</f>
        <v>2009.1617777063409</v>
      </c>
      <c r="BE45" s="325">
        <f>Data!BE48/BE$4*100000*BE$3</f>
        <v>6552.6505471463206</v>
      </c>
    </row>
    <row r="46" spans="1:57" ht="12" customHeight="1">
      <c r="A46" s="30"/>
      <c r="B46" s="129" t="str">
        <f>UPPER(LEFT(TRIM(Data!B50),1)) &amp; MID(TRIM(Data!B50),2,50)</f>
        <v>Kiti nervų sistemos</v>
      </c>
      <c r="C46" s="129" t="str">
        <f>Data!C50</f>
        <v>D42, D43</v>
      </c>
      <c r="D46" s="142">
        <f>Data!E50</f>
        <v>5</v>
      </c>
      <c r="E46" s="143">
        <f t="shared" si="5"/>
        <v>0.37371107051778418</v>
      </c>
      <c r="F46" s="133">
        <f t="shared" si="6"/>
        <v>0.28508211678150147</v>
      </c>
      <c r="G46" s="133">
        <f t="shared" si="7"/>
        <v>0.18440393805507851</v>
      </c>
      <c r="H46" s="58"/>
      <c r="I46" s="58"/>
      <c r="J46" s="58"/>
      <c r="K46" s="58"/>
      <c r="L46" s="58"/>
      <c r="M46" s="58"/>
      <c r="N46" s="58"/>
      <c r="O46" s="58"/>
      <c r="P46" s="58"/>
      <c r="Q46" s="317"/>
      <c r="R46" s="333" t="s">
        <v>353</v>
      </c>
      <c r="S46" s="325">
        <f t="shared" si="2"/>
        <v>28508.211678150146</v>
      </c>
      <c r="T46" s="325">
        <f>Data!AN50/T$4*100000*T$3</f>
        <v>0</v>
      </c>
      <c r="U46" s="325">
        <f>Data!AO50/U$4*100000*U$3</f>
        <v>0</v>
      </c>
      <c r="V46" s="325">
        <f>Data!AP50/V$4*100000*V$3</f>
        <v>0</v>
      </c>
      <c r="W46" s="325">
        <f>Data!AQ50/W$4*100000*W$3</f>
        <v>0</v>
      </c>
      <c r="X46" s="325">
        <f>Data!AR50/X$4*100000*X$3</f>
        <v>0</v>
      </c>
      <c r="Y46" s="325">
        <f>Data!AS50/Y$4*100000*Y$3</f>
        <v>0</v>
      </c>
      <c r="Z46" s="325">
        <f>Data!AT50/Z$4*100000*Z$3</f>
        <v>7749.4492355721868</v>
      </c>
      <c r="AA46" s="325">
        <f>Data!AU50/AA$4*100000*AA$3</f>
        <v>0</v>
      </c>
      <c r="AB46" s="325">
        <f>Data!AV50/AB$4*100000*AB$3</f>
        <v>0</v>
      </c>
      <c r="AC46" s="325">
        <f>Data!AW50/AC$4*100000*AC$3</f>
        <v>0</v>
      </c>
      <c r="AD46" s="325">
        <f>Data!AX50/AD$4*100000*AD$3</f>
        <v>6620.2617840659759</v>
      </c>
      <c r="AE46" s="325">
        <f>Data!AY50/AE$4*100000*AE$3</f>
        <v>0</v>
      </c>
      <c r="AF46" s="325">
        <f>Data!AZ50/AF$4*100000*AF$3</f>
        <v>0</v>
      </c>
      <c r="AG46" s="325">
        <f>Data!BA50/AG$4*100000*AG$3</f>
        <v>0</v>
      </c>
      <c r="AH46" s="325">
        <f>Data!BB50/AH$4*100000*AH$3</f>
        <v>0</v>
      </c>
      <c r="AI46" s="325">
        <f>Data!BC50/AI$4*100000*AI$3</f>
        <v>10120.177103099306</v>
      </c>
      <c r="AJ46" s="325">
        <f>Data!BD50/AJ$4*100000*AJ$3</f>
        <v>4018.3235554126818</v>
      </c>
      <c r="AK46" s="325">
        <f>Data!BE50/AK$4*100000*AK$3</f>
        <v>0</v>
      </c>
      <c r="AL46" s="333" t="s">
        <v>353</v>
      </c>
      <c r="AM46" s="325">
        <f t="shared" si="3"/>
        <v>18440.393805507851</v>
      </c>
      <c r="AN46" s="325">
        <f>Data!AN50/AN$4*100000*AN$3</f>
        <v>0</v>
      </c>
      <c r="AO46" s="325">
        <f>Data!AO50/AO$4*100000*AO$3</f>
        <v>0</v>
      </c>
      <c r="AP46" s="325">
        <f>Data!AP50/AP$4*100000*AP$3</f>
        <v>0</v>
      </c>
      <c r="AQ46" s="325">
        <f>Data!AQ50/AQ$4*100000*AQ$3</f>
        <v>0</v>
      </c>
      <c r="AR46" s="325">
        <f>Data!AR50/AR$4*100000*AR$3</f>
        <v>0</v>
      </c>
      <c r="AS46" s="325">
        <f>Data!AS50/AS$4*100000*AS$3</f>
        <v>0</v>
      </c>
      <c r="AT46" s="325">
        <f>Data!AT50/AT$4*100000*AT$3</f>
        <v>6642.3850590618749</v>
      </c>
      <c r="AU46" s="325">
        <f>Data!AU50/AU$4*100000*AU$3</f>
        <v>0</v>
      </c>
      <c r="AV46" s="325">
        <f>Data!AV50/AV$4*100000*AV$3</f>
        <v>0</v>
      </c>
      <c r="AW46" s="325">
        <f>Data!AW50/AW$4*100000*AW$3</f>
        <v>0</v>
      </c>
      <c r="AX46" s="325">
        <f>Data!AX50/AX$4*100000*AX$3</f>
        <v>4728.7584171899825</v>
      </c>
      <c r="AY46" s="325">
        <f>Data!AY50/AY$4*100000*AY$3</f>
        <v>0</v>
      </c>
      <c r="AZ46" s="325">
        <f>Data!AZ50/AZ$4*100000*AZ$3</f>
        <v>0</v>
      </c>
      <c r="BA46" s="325">
        <f>Data!BA50/BA$4*100000*BA$3</f>
        <v>0</v>
      </c>
      <c r="BB46" s="325">
        <f>Data!BB50/BB$4*100000*BB$3</f>
        <v>0</v>
      </c>
      <c r="BC46" s="325">
        <f>Data!BC50/BC$4*100000*BC$3</f>
        <v>5060.0885515496529</v>
      </c>
      <c r="BD46" s="325">
        <f>Data!BD50/BD$4*100000*BD$3</f>
        <v>2009.1617777063409</v>
      </c>
      <c r="BE46" s="325">
        <f>Data!BE50/BE$4*100000*BE$3</f>
        <v>0</v>
      </c>
    </row>
    <row r="47" spans="1:57" ht="12" customHeight="1">
      <c r="A47" s="30"/>
      <c r="B47" s="134" t="str">
        <f>UPPER(LEFT(TRIM(Data!B51),1)) &amp; MID(TRIM(Data!B51),2,50)</f>
        <v>Limfinio ir kraujodaros audinių</v>
      </c>
      <c r="C47" s="134" t="str">
        <f>Data!C51</f>
        <v>D45-D47</v>
      </c>
      <c r="D47" s="135">
        <f>Data!E51</f>
        <v>35</v>
      </c>
      <c r="E47" s="136">
        <f t="shared" si="5"/>
        <v>2.6159774936244893</v>
      </c>
      <c r="F47" s="137">
        <f t="shared" si="6"/>
        <v>2.0736757867221032</v>
      </c>
      <c r="G47" s="137">
        <f t="shared" si="7"/>
        <v>1.3897953096251661</v>
      </c>
      <c r="H47" s="58"/>
      <c r="I47" s="58"/>
      <c r="J47" s="58"/>
      <c r="K47" s="58"/>
      <c r="L47" s="58"/>
      <c r="M47" s="58"/>
      <c r="N47" s="58"/>
      <c r="O47" s="58"/>
      <c r="P47" s="58"/>
      <c r="Q47" s="317"/>
      <c r="R47" s="333" t="s">
        <v>353</v>
      </c>
      <c r="S47" s="325">
        <f t="shared" si="2"/>
        <v>207367.57867221034</v>
      </c>
      <c r="T47" s="325">
        <f>Data!AN51/T$4*100000*T$3</f>
        <v>10334.448592577282</v>
      </c>
      <c r="U47" s="325">
        <f>Data!AO51/U$4*100000*U$3</f>
        <v>0</v>
      </c>
      <c r="V47" s="325">
        <f>Data!AP51/V$4*100000*V$3</f>
        <v>0</v>
      </c>
      <c r="W47" s="325">
        <f>Data!AQ51/W$4*100000*W$3</f>
        <v>0</v>
      </c>
      <c r="X47" s="325">
        <f>Data!AR51/X$4*100000*X$3</f>
        <v>6766.2268619206407</v>
      </c>
      <c r="Y47" s="325">
        <f>Data!AS51/Y$4*100000*Y$3</f>
        <v>0</v>
      </c>
      <c r="Z47" s="325">
        <f>Data!AT51/Z$4*100000*Z$3</f>
        <v>0</v>
      </c>
      <c r="AA47" s="325">
        <f>Data!AU51/AA$4*100000*AA$3</f>
        <v>0</v>
      </c>
      <c r="AB47" s="325">
        <f>Data!AV51/AB$4*100000*AB$3</f>
        <v>0</v>
      </c>
      <c r="AC47" s="325">
        <f>Data!AW51/AC$4*100000*AC$3</f>
        <v>0</v>
      </c>
      <c r="AD47" s="325">
        <f>Data!AX51/AD$4*100000*AD$3</f>
        <v>13240.523568131952</v>
      </c>
      <c r="AE47" s="325">
        <f>Data!AY51/AE$4*100000*AE$3</f>
        <v>12453.17088863752</v>
      </c>
      <c r="AF47" s="325">
        <f>Data!AZ51/AF$4*100000*AF$3</f>
        <v>13725.705501262766</v>
      </c>
      <c r="AG47" s="325">
        <f>Data!BA51/AG$4*100000*AG$3</f>
        <v>20963.994339721532</v>
      </c>
      <c r="AH47" s="325">
        <f>Data!BB51/AH$4*100000*AH$3</f>
        <v>38040.49199036308</v>
      </c>
      <c r="AI47" s="325">
        <f>Data!BC51/AI$4*100000*AI$3</f>
        <v>45540.796963946865</v>
      </c>
      <c r="AJ47" s="325">
        <f>Data!BD51/AJ$4*100000*AJ$3</f>
        <v>20091.617777063409</v>
      </c>
      <c r="AK47" s="325">
        <f>Data!BE51/AK$4*100000*AK$3</f>
        <v>26210.602188585282</v>
      </c>
      <c r="AL47" s="333" t="s">
        <v>353</v>
      </c>
      <c r="AM47" s="325">
        <f t="shared" si="3"/>
        <v>138979.53096251661</v>
      </c>
      <c r="AN47" s="325">
        <f>Data!AN51/AN$4*100000*AN$3</f>
        <v>15501.672888865922</v>
      </c>
      <c r="AO47" s="325">
        <f>Data!AO51/AO$4*100000*AO$3</f>
        <v>0</v>
      </c>
      <c r="AP47" s="325">
        <f>Data!AP51/AP$4*100000*AP$3</f>
        <v>0</v>
      </c>
      <c r="AQ47" s="325">
        <f>Data!AQ51/AQ$4*100000*AQ$3</f>
        <v>0</v>
      </c>
      <c r="AR47" s="325">
        <f>Data!AR51/AR$4*100000*AR$3</f>
        <v>7732.8306993378756</v>
      </c>
      <c r="AS47" s="325">
        <f>Data!AS51/AS$4*100000*AS$3</f>
        <v>0</v>
      </c>
      <c r="AT47" s="325">
        <f>Data!AT51/AT$4*100000*AT$3</f>
        <v>0</v>
      </c>
      <c r="AU47" s="325">
        <f>Data!AU51/AU$4*100000*AU$3</f>
        <v>0</v>
      </c>
      <c r="AV47" s="325">
        <f>Data!AV51/AV$4*100000*AV$3</f>
        <v>0</v>
      </c>
      <c r="AW47" s="325">
        <f>Data!AW51/AW$4*100000*AW$3</f>
        <v>0</v>
      </c>
      <c r="AX47" s="325">
        <f>Data!AX51/AX$4*100000*AX$3</f>
        <v>9457.5168343799651</v>
      </c>
      <c r="AY47" s="325">
        <f>Data!AY51/AY$4*100000*AY$3</f>
        <v>8302.1139257583472</v>
      </c>
      <c r="AZ47" s="325">
        <f>Data!AZ51/AZ$4*100000*AZ$3</f>
        <v>10980.564401010213</v>
      </c>
      <c r="BA47" s="325">
        <f>Data!BA51/BA$4*100000*BA$3</f>
        <v>15722.995754791147</v>
      </c>
      <c r="BB47" s="325">
        <f>Data!BB51/BB$4*100000*BB$3</f>
        <v>25360.327993575385</v>
      </c>
      <c r="BC47" s="325">
        <f>Data!BC51/BC$4*100000*BC$3</f>
        <v>22770.398481973432</v>
      </c>
      <c r="BD47" s="325">
        <f>Data!BD51/BD$4*100000*BD$3</f>
        <v>10045.808888531705</v>
      </c>
      <c r="BE47" s="325">
        <f>Data!BE51/BE$4*100000*BE$3</f>
        <v>13105.301094292641</v>
      </c>
    </row>
    <row r="48" spans="1:57">
      <c r="A48" s="30"/>
      <c r="B48" s="30"/>
      <c r="C48" s="30"/>
      <c r="D48" s="30"/>
      <c r="E48" s="30"/>
      <c r="F48" s="30"/>
      <c r="G48" s="30"/>
      <c r="H48" s="58"/>
      <c r="I48" s="58"/>
      <c r="J48" s="58"/>
      <c r="K48" s="58"/>
      <c r="L48" s="58"/>
      <c r="M48" s="58"/>
      <c r="N48" s="58"/>
      <c r="O48" s="58"/>
      <c r="P48" s="58"/>
    </row>
    <row r="49" spans="1:37">
      <c r="A49" s="30"/>
      <c r="B49" s="30"/>
      <c r="C49" s="30"/>
      <c r="D49" s="30"/>
      <c r="E49" s="30"/>
      <c r="F49" s="30"/>
      <c r="G49" s="30"/>
      <c r="H49" s="58"/>
      <c r="I49" s="58"/>
      <c r="J49" s="58"/>
      <c r="K49" s="58"/>
      <c r="L49" s="58"/>
      <c r="M49" s="58"/>
      <c r="N49" s="58"/>
      <c r="O49" s="58"/>
      <c r="P49" s="58"/>
    </row>
    <row r="50" spans="1:37">
      <c r="R50" s="34" t="s">
        <v>408</v>
      </c>
      <c r="S50" s="33">
        <f>SUM(T50:AK50)</f>
        <v>100000</v>
      </c>
      <c r="T50" s="55">
        <v>8000</v>
      </c>
      <c r="U50" s="55">
        <v>7000</v>
      </c>
      <c r="V50" s="55">
        <v>7000</v>
      </c>
      <c r="W50" s="55">
        <v>7000</v>
      </c>
      <c r="X50" s="55">
        <v>7000</v>
      </c>
      <c r="Y50" s="55">
        <v>7000</v>
      </c>
      <c r="Z50" s="55">
        <v>7000</v>
      </c>
      <c r="AA50" s="55">
        <v>7000</v>
      </c>
      <c r="AB50" s="55">
        <v>7000</v>
      </c>
      <c r="AC50" s="55">
        <v>7000</v>
      </c>
      <c r="AD50" s="55">
        <v>7000</v>
      </c>
      <c r="AE50" s="55">
        <v>6000</v>
      </c>
      <c r="AF50" s="55">
        <v>5000</v>
      </c>
      <c r="AG50" s="55">
        <v>4000</v>
      </c>
      <c r="AH50" s="55">
        <v>3000</v>
      </c>
      <c r="AI50" s="55">
        <v>2000</v>
      </c>
      <c r="AJ50" s="55">
        <v>1000</v>
      </c>
      <c r="AK50" s="55">
        <v>1000</v>
      </c>
    </row>
    <row r="51" spans="1:37">
      <c r="R51" s="34" t="s">
        <v>409</v>
      </c>
      <c r="S51">
        <v>100000</v>
      </c>
      <c r="T51">
        <v>12000</v>
      </c>
      <c r="U51">
        <v>10000</v>
      </c>
      <c r="V51">
        <v>9000</v>
      </c>
      <c r="W51">
        <v>9000</v>
      </c>
      <c r="X51">
        <v>8000</v>
      </c>
      <c r="Y51">
        <v>8000</v>
      </c>
      <c r="Z51">
        <v>6000</v>
      </c>
      <c r="AA51">
        <v>6000</v>
      </c>
      <c r="AB51">
        <v>6000</v>
      </c>
      <c r="AC51">
        <v>6000</v>
      </c>
      <c r="AD51">
        <v>5000</v>
      </c>
      <c r="AE51">
        <v>4000</v>
      </c>
      <c r="AF51">
        <v>4000</v>
      </c>
      <c r="AG51">
        <v>3000</v>
      </c>
      <c r="AH51">
        <v>2000</v>
      </c>
      <c r="AI51">
        <v>1000</v>
      </c>
      <c r="AJ51">
        <v>500</v>
      </c>
      <c r="AK51">
        <v>500</v>
      </c>
    </row>
  </sheetData>
  <mergeCells count="9">
    <mergeCell ref="B1:D1"/>
    <mergeCell ref="AN2:AP2"/>
    <mergeCell ref="T2:V2"/>
    <mergeCell ref="F4:G4"/>
    <mergeCell ref="C4:C5"/>
    <mergeCell ref="B4:B5"/>
    <mergeCell ref="D4:D5"/>
    <mergeCell ref="E4:E5"/>
    <mergeCell ref="R1:R2"/>
  </mergeCells>
  <pageMargins left="0.59055118110236215" right="0.62992125984251968" top="1.5748031496062993" bottom="1.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</sheetPr>
  <dimension ref="A1:G39"/>
  <sheetViews>
    <sheetView workbookViewId="0">
      <selection activeCell="E38" sqref="E38"/>
    </sheetView>
  </sheetViews>
  <sheetFormatPr defaultRowHeight="12.75"/>
  <cols>
    <col min="1" max="1" width="24" bestFit="1" customWidth="1"/>
    <col min="2" max="2" width="5" bestFit="1" customWidth="1"/>
    <col min="3" max="3" width="5.7109375" bestFit="1" customWidth="1"/>
    <col min="5" max="5" width="24" bestFit="1" customWidth="1"/>
  </cols>
  <sheetData>
    <row r="1" spans="1:7">
      <c r="A1" s="495" t="s">
        <v>481</v>
      </c>
      <c r="B1" s="495"/>
      <c r="C1" s="495"/>
      <c r="E1" s="495" t="s">
        <v>484</v>
      </c>
      <c r="F1" s="495"/>
      <c r="G1" s="495"/>
    </row>
    <row r="2" spans="1:7">
      <c r="A2" t="s">
        <v>26</v>
      </c>
      <c r="B2">
        <v>2770</v>
      </c>
      <c r="C2" s="28">
        <f t="shared" ref="C2:C12" si="0">B2/$B$13</f>
        <v>0.33185575655924282</v>
      </c>
      <c r="E2" t="s">
        <v>26</v>
      </c>
      <c r="F2">
        <v>269</v>
      </c>
      <c r="G2" s="28">
        <f t="shared" ref="G2:G12" si="1">F2/$F$13</f>
        <v>0.29081081081081084</v>
      </c>
    </row>
    <row r="3" spans="1:7">
      <c r="A3" t="s">
        <v>211</v>
      </c>
      <c r="B3">
        <f>Data!E7+Data!BR7</f>
        <v>289</v>
      </c>
      <c r="C3" s="28">
        <f t="shared" si="0"/>
        <v>3.4623217922606926E-2</v>
      </c>
      <c r="E3" t="s">
        <v>422</v>
      </c>
      <c r="F3">
        <f>Data!BH8+Data!DU8</f>
        <v>28</v>
      </c>
      <c r="G3" s="28">
        <f t="shared" si="1"/>
        <v>3.027027027027027E-2</v>
      </c>
    </row>
    <row r="4" spans="1:7">
      <c r="A4" t="s">
        <v>213</v>
      </c>
      <c r="B4">
        <f>Data!E31+Data!BR31</f>
        <v>290</v>
      </c>
      <c r="C4" s="28">
        <f t="shared" si="0"/>
        <v>3.4743021444830477E-2</v>
      </c>
      <c r="E4" t="s">
        <v>212</v>
      </c>
      <c r="F4">
        <f>Data!BH11+Data!DU11</f>
        <v>35</v>
      </c>
      <c r="G4" s="28">
        <f t="shared" si="1"/>
        <v>3.783783783783784E-2</v>
      </c>
    </row>
    <row r="5" spans="1:7">
      <c r="A5" t="s">
        <v>237</v>
      </c>
      <c r="B5">
        <f>Data!E38+Data!BR38</f>
        <v>401</v>
      </c>
      <c r="C5" s="28">
        <f t="shared" si="0"/>
        <v>4.8041212411644905E-2</v>
      </c>
      <c r="E5" t="s">
        <v>219</v>
      </c>
      <c r="F5">
        <f>Data!BH14+Data!DU14</f>
        <v>43</v>
      </c>
      <c r="G5" s="28">
        <f t="shared" si="1"/>
        <v>4.6486486486486484E-2</v>
      </c>
    </row>
    <row r="6" spans="1:7">
      <c r="A6" t="s">
        <v>212</v>
      </c>
      <c r="B6">
        <f>Data!E11+Data!BR11</f>
        <v>440</v>
      </c>
      <c r="C6" s="28">
        <f t="shared" si="0"/>
        <v>5.2713549778363483E-2</v>
      </c>
      <c r="E6" t="s">
        <v>225</v>
      </c>
      <c r="F6">
        <f>Data!BH35+Data!DU35</f>
        <v>47</v>
      </c>
      <c r="G6" s="28">
        <f t="shared" si="1"/>
        <v>5.0810810810810812E-2</v>
      </c>
    </row>
    <row r="7" spans="1:7">
      <c r="A7" t="s">
        <v>219</v>
      </c>
      <c r="B7">
        <f>Data!E14+Data!BR14</f>
        <v>469</v>
      </c>
      <c r="C7" s="28">
        <f t="shared" si="0"/>
        <v>5.6187851922846532E-2</v>
      </c>
      <c r="E7" t="s">
        <v>231</v>
      </c>
      <c r="F7">
        <f>Data!BH27+Data!DU27</f>
        <v>49</v>
      </c>
      <c r="G7" s="28">
        <f t="shared" si="1"/>
        <v>5.2972972972972973E-2</v>
      </c>
    </row>
    <row r="8" spans="1:7">
      <c r="A8" t="s">
        <v>214</v>
      </c>
      <c r="B8">
        <f>Data!E10+Data!BR10</f>
        <v>542</v>
      </c>
      <c r="C8" s="28">
        <f t="shared" si="0"/>
        <v>6.4933509045165927E-2</v>
      </c>
      <c r="E8" t="s">
        <v>232</v>
      </c>
      <c r="F8">
        <f>Data!BH25+Data!DU25</f>
        <v>66</v>
      </c>
      <c r="G8" s="28">
        <f t="shared" si="1"/>
        <v>7.1351351351351358E-2</v>
      </c>
    </row>
    <row r="9" spans="1:7">
      <c r="A9" t="s">
        <v>218</v>
      </c>
      <c r="B9">
        <f>Data!E28+Data!BR28</f>
        <v>544</v>
      </c>
      <c r="C9" s="28">
        <f t="shared" si="0"/>
        <v>6.5173116089613028E-2</v>
      </c>
      <c r="E9" t="s">
        <v>211</v>
      </c>
      <c r="F9">
        <f>Data!BH7+Data!DU7</f>
        <v>82</v>
      </c>
      <c r="G9" s="28">
        <f t="shared" si="1"/>
        <v>8.8648648648648645E-2</v>
      </c>
    </row>
    <row r="10" spans="1:7">
      <c r="A10" t="s">
        <v>234</v>
      </c>
      <c r="B10">
        <f>Data!E23+Data!BR23</f>
        <v>575</v>
      </c>
      <c r="C10" s="28">
        <f t="shared" si="0"/>
        <v>6.8887025278543193E-2</v>
      </c>
      <c r="E10" t="s">
        <v>215</v>
      </c>
      <c r="F10">
        <f>Data!BH9+Data!DU9</f>
        <v>87</v>
      </c>
      <c r="G10" s="28">
        <f t="shared" si="1"/>
        <v>9.4054054054054051E-2</v>
      </c>
    </row>
    <row r="11" spans="1:7">
      <c r="A11" t="s">
        <v>215</v>
      </c>
      <c r="B11">
        <f>Data!E9+Data!BR9</f>
        <v>681</v>
      </c>
      <c r="C11" s="28">
        <f t="shared" si="0"/>
        <v>8.158619863423984E-2</v>
      </c>
      <c r="E11" t="s">
        <v>234</v>
      </c>
      <c r="F11">
        <f>Data!BH23+Data!DU23</f>
        <v>100</v>
      </c>
      <c r="G11" s="28">
        <f t="shared" si="1"/>
        <v>0.10810810810810811</v>
      </c>
    </row>
    <row r="12" spans="1:7">
      <c r="A12" t="s">
        <v>217</v>
      </c>
      <c r="B12">
        <f>Data!E18+Data!BR18</f>
        <v>1346</v>
      </c>
      <c r="C12" s="28">
        <f t="shared" si="0"/>
        <v>0.16125554091290284</v>
      </c>
      <c r="E12" t="s">
        <v>217</v>
      </c>
      <c r="F12">
        <f>Data!BH18+Data!DU18</f>
        <v>119</v>
      </c>
      <c r="G12" s="28">
        <f t="shared" si="1"/>
        <v>0.12864864864864864</v>
      </c>
    </row>
    <row r="13" spans="1:7">
      <c r="A13" s="26" t="s">
        <v>210</v>
      </c>
      <c r="B13">
        <f>SUM(B2:B12)</f>
        <v>8347</v>
      </c>
      <c r="C13" s="28">
        <f>SUM(C2:C12)</f>
        <v>1</v>
      </c>
      <c r="E13" s="26" t="s">
        <v>210</v>
      </c>
      <c r="F13">
        <f>SUM(F2:F12)</f>
        <v>925</v>
      </c>
      <c r="G13" s="28">
        <f>SUM(G2:G12)</f>
        <v>1</v>
      </c>
    </row>
    <row r="14" spans="1:7">
      <c r="A14" s="495" t="s">
        <v>482</v>
      </c>
      <c r="B14" s="495"/>
      <c r="C14" s="495"/>
      <c r="E14" s="495" t="s">
        <v>485</v>
      </c>
      <c r="F14" s="495"/>
      <c r="G14" s="495"/>
    </row>
    <row r="15" spans="1:7">
      <c r="E15" t="s">
        <v>26</v>
      </c>
      <c r="F15">
        <v>1246</v>
      </c>
      <c r="G15" s="28">
        <f t="shared" ref="G15:G25" si="2">F15/$F$26</f>
        <v>0.31891476836447402</v>
      </c>
    </row>
    <row r="16" spans="1:7">
      <c r="E16" t="s">
        <v>213</v>
      </c>
      <c r="F16">
        <f>Data!BI31+Data!DV31</f>
        <v>137</v>
      </c>
      <c r="G16" s="28">
        <f t="shared" si="2"/>
        <v>3.5065267468646022E-2</v>
      </c>
    </row>
    <row r="17" spans="1:7">
      <c r="E17" t="s">
        <v>211</v>
      </c>
      <c r="F17">
        <f>Data!BI7+Data!DV7</f>
        <v>170</v>
      </c>
      <c r="G17" s="28">
        <f t="shared" si="2"/>
        <v>4.3511645764013313E-2</v>
      </c>
    </row>
    <row r="18" spans="1:7">
      <c r="E18" t="s">
        <v>237</v>
      </c>
      <c r="F18">
        <f>Data!BI38+Data!DV38</f>
        <v>188</v>
      </c>
      <c r="G18" s="28">
        <f t="shared" si="2"/>
        <v>4.811876119785001E-2</v>
      </c>
    </row>
    <row r="19" spans="1:7">
      <c r="E19" t="s">
        <v>212</v>
      </c>
      <c r="F19">
        <f>Data!BI11+Data!DV11</f>
        <v>191</v>
      </c>
      <c r="G19" s="28">
        <f t="shared" si="2"/>
        <v>4.8886613770156129E-2</v>
      </c>
    </row>
    <row r="20" spans="1:7">
      <c r="E20" t="s">
        <v>218</v>
      </c>
      <c r="F20">
        <f>Data!BI28+Data!DV28</f>
        <v>194</v>
      </c>
      <c r="G20" s="28">
        <f t="shared" si="2"/>
        <v>4.9654466342462247E-2</v>
      </c>
    </row>
    <row r="21" spans="1:7">
      <c r="A21" t="s">
        <v>26</v>
      </c>
      <c r="B21">
        <v>0</v>
      </c>
      <c r="C21" s="28">
        <f>B21/$B$26</f>
        <v>0</v>
      </c>
      <c r="E21" t="s">
        <v>214</v>
      </c>
      <c r="F21">
        <f>Data!BI10+Data!DV10</f>
        <v>216</v>
      </c>
      <c r="G21" s="28">
        <f t="shared" si="2"/>
        <v>5.5285385206040441E-2</v>
      </c>
    </row>
    <row r="22" spans="1:7">
      <c r="A22" t="s">
        <v>236</v>
      </c>
      <c r="B22">
        <f>Data!BF37+Data!DS37</f>
        <v>1</v>
      </c>
      <c r="C22" s="28">
        <f>B22/$B$26</f>
        <v>7.6923076923076927E-2</v>
      </c>
      <c r="E22" t="s">
        <v>219</v>
      </c>
      <c r="F22">
        <f>Data!BI14+Data!DV14</f>
        <v>219</v>
      </c>
      <c r="G22" s="28">
        <f t="shared" si="2"/>
        <v>5.605323777834656E-2</v>
      </c>
    </row>
    <row r="23" spans="1:7">
      <c r="A23" t="s">
        <v>228</v>
      </c>
      <c r="B23">
        <f>Data!BF20+Data!DS20</f>
        <v>2</v>
      </c>
      <c r="C23" s="28">
        <f>B23/$B$26</f>
        <v>0.15384615384615385</v>
      </c>
      <c r="E23" t="s">
        <v>234</v>
      </c>
      <c r="F23">
        <f>Data!BI23+Data!DV23</f>
        <v>265</v>
      </c>
      <c r="G23" s="28">
        <f t="shared" si="2"/>
        <v>6.7826977220373688E-2</v>
      </c>
    </row>
    <row r="24" spans="1:7">
      <c r="A24" t="s">
        <v>227</v>
      </c>
      <c r="B24">
        <f>Data!BF42+Data!DS42</f>
        <v>3</v>
      </c>
      <c r="C24" s="28">
        <f>B24/$B$26</f>
        <v>0.23076923076923078</v>
      </c>
      <c r="E24" t="s">
        <v>215</v>
      </c>
      <c r="F24">
        <f>Data!BI9+Data!DV9</f>
        <v>282</v>
      </c>
      <c r="G24" s="28">
        <f t="shared" si="2"/>
        <v>7.2178141796775022E-2</v>
      </c>
    </row>
    <row r="25" spans="1:7">
      <c r="A25" t="s">
        <v>225</v>
      </c>
      <c r="B25">
        <f>Data!BF35+Data!DS35</f>
        <v>7</v>
      </c>
      <c r="C25" s="28">
        <f>B25/$B$26</f>
        <v>0.53846153846153844</v>
      </c>
      <c r="E25" t="s">
        <v>217</v>
      </c>
      <c r="F25">
        <f>Data!BI18+Data!DV18</f>
        <v>799</v>
      </c>
      <c r="G25" s="28">
        <f t="shared" si="2"/>
        <v>0.20450473509086256</v>
      </c>
    </row>
    <row r="26" spans="1:7">
      <c r="A26" s="26" t="s">
        <v>210</v>
      </c>
      <c r="B26">
        <f>SUM(B21:B25)</f>
        <v>13</v>
      </c>
      <c r="C26" s="28">
        <f>SUM(C21:C25)</f>
        <v>1</v>
      </c>
      <c r="E26" s="26" t="s">
        <v>210</v>
      </c>
      <c r="F26">
        <f>SUM(F15:F25)</f>
        <v>3907</v>
      </c>
      <c r="G26" s="28">
        <f>SUM(G15:G25)</f>
        <v>1</v>
      </c>
    </row>
    <row r="27" spans="1:7">
      <c r="A27" s="495" t="s">
        <v>483</v>
      </c>
      <c r="B27" s="495"/>
      <c r="C27" s="495"/>
      <c r="E27" s="495" t="s">
        <v>486</v>
      </c>
      <c r="F27" s="495"/>
      <c r="G27" s="495"/>
    </row>
    <row r="28" spans="1:7">
      <c r="A28" t="s">
        <v>26</v>
      </c>
      <c r="B28">
        <v>1</v>
      </c>
      <c r="C28" s="28">
        <f t="shared" ref="C28:C38" si="3">B28/$B$39</f>
        <v>4.7619047619047616E-2</v>
      </c>
      <c r="E28" t="s">
        <v>26</v>
      </c>
      <c r="F28">
        <v>1005</v>
      </c>
      <c r="G28" s="28">
        <f t="shared" ref="G28:G38" si="4">F28/$F$39</f>
        <v>0.28871014076414825</v>
      </c>
    </row>
    <row r="29" spans="1:7">
      <c r="A29" t="s">
        <v>214</v>
      </c>
      <c r="B29">
        <f>Data!BG10+Data!DT10</f>
        <v>1</v>
      </c>
      <c r="C29" s="28">
        <f t="shared" si="3"/>
        <v>4.7619047619047616E-2</v>
      </c>
      <c r="E29" t="s">
        <v>213</v>
      </c>
      <c r="F29">
        <f>Data!BJ31+Data!DW31</f>
        <v>125</v>
      </c>
      <c r="G29" s="28">
        <f t="shared" si="4"/>
        <v>3.5909221488078139E-2</v>
      </c>
    </row>
    <row r="30" spans="1:7">
      <c r="A30" t="s">
        <v>219</v>
      </c>
      <c r="B30">
        <f>Data!BG14+Data!DT14</f>
        <v>1</v>
      </c>
      <c r="C30" s="28">
        <f t="shared" si="3"/>
        <v>4.7619047619047616E-2</v>
      </c>
      <c r="E30" t="s">
        <v>220</v>
      </c>
      <c r="F30">
        <f>Data!BJ32+Data!DW32</f>
        <v>148</v>
      </c>
      <c r="G30" s="28">
        <f t="shared" si="4"/>
        <v>4.2516518241884516E-2</v>
      </c>
    </row>
    <row r="31" spans="1:7">
      <c r="A31" t="s">
        <v>229</v>
      </c>
      <c r="B31">
        <f>Data!BG21+Data!DT21</f>
        <v>1</v>
      </c>
      <c r="C31" s="28">
        <f t="shared" si="3"/>
        <v>4.7619047619047616E-2</v>
      </c>
      <c r="E31" t="s">
        <v>237</v>
      </c>
      <c r="F31">
        <f>Data!BJ38+Data!DW38</f>
        <v>191</v>
      </c>
      <c r="G31" s="28">
        <f t="shared" si="4"/>
        <v>5.4869290433783392E-2</v>
      </c>
    </row>
    <row r="32" spans="1:7">
      <c r="A32" t="s">
        <v>234</v>
      </c>
      <c r="B32">
        <f>Data!BG23+Data!DT23</f>
        <v>1</v>
      </c>
      <c r="C32" s="28">
        <f t="shared" si="3"/>
        <v>4.7619047619047616E-2</v>
      </c>
      <c r="E32" t="s">
        <v>219</v>
      </c>
      <c r="F32">
        <f>Data!BJ14+Data!DW14</f>
        <v>206</v>
      </c>
      <c r="G32" s="28">
        <f t="shared" si="4"/>
        <v>5.9178397012352772E-2</v>
      </c>
    </row>
    <row r="33" spans="1:7">
      <c r="A33" t="s">
        <v>233</v>
      </c>
      <c r="B33">
        <f>Data!BG26+Data!DT26</f>
        <v>1</v>
      </c>
      <c r="C33" s="28">
        <f t="shared" si="3"/>
        <v>4.7619047619047616E-2</v>
      </c>
      <c r="E33" t="s">
        <v>234</v>
      </c>
      <c r="F33">
        <f>Data!BJ23+Data!DW23</f>
        <v>209</v>
      </c>
      <c r="G33" s="28">
        <f t="shared" si="4"/>
        <v>6.004021832806665E-2</v>
      </c>
    </row>
    <row r="34" spans="1:7">
      <c r="A34" t="s">
        <v>231</v>
      </c>
      <c r="B34">
        <f>Data!BG27+Data!DT27</f>
        <v>1</v>
      </c>
      <c r="C34" s="28">
        <f t="shared" si="3"/>
        <v>4.7619047619047616E-2</v>
      </c>
      <c r="E34" t="s">
        <v>212</v>
      </c>
      <c r="F34">
        <f>Data!BJ11+Data!DW11</f>
        <v>214</v>
      </c>
      <c r="G34" s="28">
        <f t="shared" si="4"/>
        <v>6.1476587187589776E-2</v>
      </c>
    </row>
    <row r="35" spans="1:7">
      <c r="A35" t="s">
        <v>213</v>
      </c>
      <c r="B35">
        <f>Data!BG31+Data!DT31</f>
        <v>1</v>
      </c>
      <c r="C35" s="28">
        <f t="shared" si="3"/>
        <v>4.7619047619047616E-2</v>
      </c>
      <c r="E35" t="s">
        <v>214</v>
      </c>
      <c r="F35">
        <f>Data!BJ10+Data!DW10</f>
        <v>300</v>
      </c>
      <c r="G35" s="28">
        <f t="shared" si="4"/>
        <v>8.618213157138753E-2</v>
      </c>
    </row>
    <row r="36" spans="1:7">
      <c r="A36" t="s">
        <v>221</v>
      </c>
      <c r="B36">
        <f>Data!BG29+Data!DT29</f>
        <v>3</v>
      </c>
      <c r="C36" s="28">
        <f t="shared" si="3"/>
        <v>0.14285714285714285</v>
      </c>
      <c r="E36" t="s">
        <v>215</v>
      </c>
      <c r="F36">
        <f>Data!BJ9+Data!DW9</f>
        <v>312</v>
      </c>
      <c r="G36" s="28">
        <f t="shared" si="4"/>
        <v>8.9629416834243039E-2</v>
      </c>
    </row>
    <row r="37" spans="1:7">
      <c r="A37" t="s">
        <v>228</v>
      </c>
      <c r="B37">
        <f>Data!BG20+Data!DT20</f>
        <v>4</v>
      </c>
      <c r="C37" s="28">
        <f t="shared" si="3"/>
        <v>0.19047619047619047</v>
      </c>
      <c r="E37" t="s">
        <v>218</v>
      </c>
      <c r="F37">
        <f>Data!BJ28+Data!DW28</f>
        <v>343</v>
      </c>
      <c r="G37" s="28">
        <f t="shared" si="4"/>
        <v>9.8534903763286413E-2</v>
      </c>
    </row>
    <row r="38" spans="1:7">
      <c r="A38" t="s">
        <v>225</v>
      </c>
      <c r="B38">
        <f>Data!BG35+Data!DT35</f>
        <v>6</v>
      </c>
      <c r="C38" s="28">
        <f t="shared" si="3"/>
        <v>0.2857142857142857</v>
      </c>
      <c r="E38" t="s">
        <v>217</v>
      </c>
      <c r="F38">
        <f>Data!BJ18+Data!DW18</f>
        <v>428</v>
      </c>
      <c r="G38" s="28">
        <f t="shared" si="4"/>
        <v>0.12295317437517955</v>
      </c>
    </row>
    <row r="39" spans="1:7">
      <c r="A39" s="26" t="s">
        <v>210</v>
      </c>
      <c r="B39">
        <f>SUM(B28:B38)</f>
        <v>21</v>
      </c>
      <c r="C39" s="28">
        <f>SUM(C28:C38)</f>
        <v>0.99999999999999989</v>
      </c>
      <c r="E39" s="26" t="s">
        <v>210</v>
      </c>
      <c r="F39">
        <f>SUM(F28:F38)</f>
        <v>3481</v>
      </c>
      <c r="G39" s="28">
        <f>SUM(G28:G38)</f>
        <v>1</v>
      </c>
    </row>
  </sheetData>
  <sortState ref="E79:F88">
    <sortCondition ref="F2"/>
  </sortState>
  <mergeCells count="6">
    <mergeCell ref="A14:C14"/>
    <mergeCell ref="A27:C27"/>
    <mergeCell ref="E1:G1"/>
    <mergeCell ref="E14:G14"/>
    <mergeCell ref="E27:G27"/>
    <mergeCell ref="A1:C1"/>
  </mergeCells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 tint="0.39997558519241921"/>
  </sheetPr>
  <dimension ref="A1:BJ55"/>
  <sheetViews>
    <sheetView workbookViewId="0"/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style="62" customWidth="1"/>
    <col min="9" max="14" width="0.85546875" style="76" customWidth="1"/>
    <col min="15" max="15" width="3.28515625" style="76" customWidth="1"/>
    <col min="16" max="16" width="3.28515625" style="62" customWidth="1"/>
    <col min="17" max="17" width="9.42578125" style="62" customWidth="1"/>
    <col min="18" max="18" width="38.42578125" bestFit="1" customWidth="1"/>
    <col min="19" max="19" width="9" bestFit="1" customWidth="1"/>
    <col min="20" max="24" width="7" bestFit="1" customWidth="1"/>
    <col min="25" max="25" width="7.5703125" bestFit="1" customWidth="1"/>
    <col min="26" max="31" width="8" bestFit="1" customWidth="1"/>
    <col min="32" max="34" width="9" bestFit="1" customWidth="1"/>
    <col min="35" max="37" width="8" bestFit="1" customWidth="1"/>
    <col min="38" max="38" width="38.42578125" bestFit="1" customWidth="1"/>
  </cols>
  <sheetData>
    <row r="1" spans="1:62" ht="15">
      <c r="A1" s="67"/>
      <c r="B1" s="555" t="s">
        <v>402</v>
      </c>
      <c r="C1" s="555"/>
      <c r="D1" s="432"/>
      <c r="E1" s="71"/>
      <c r="F1" s="67"/>
      <c r="G1" s="67"/>
      <c r="H1" s="72"/>
      <c r="I1" s="72"/>
      <c r="J1" s="72"/>
      <c r="K1" s="72"/>
      <c r="L1" s="72"/>
      <c r="M1" s="72"/>
      <c r="N1" s="72"/>
      <c r="O1" s="72"/>
      <c r="P1" s="72"/>
      <c r="Q1" s="317"/>
      <c r="R1" s="561" t="s">
        <v>356</v>
      </c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  <c r="AI1" s="455"/>
      <c r="AJ1" s="455"/>
      <c r="AK1" s="455"/>
      <c r="AL1" s="455"/>
      <c r="AM1" s="455"/>
      <c r="AN1" s="455"/>
      <c r="AO1" s="455"/>
      <c r="AP1" s="455"/>
      <c r="AQ1" s="455"/>
      <c r="AR1" s="455"/>
      <c r="AS1" s="455"/>
      <c r="AT1" s="455"/>
      <c r="AU1" s="455"/>
      <c r="AV1" s="455"/>
      <c r="AW1" s="455"/>
      <c r="AX1" s="455"/>
      <c r="AY1" s="455"/>
      <c r="AZ1" s="455"/>
      <c r="BA1" s="455"/>
      <c r="BB1" s="455"/>
      <c r="BC1" s="455"/>
      <c r="BD1" s="455"/>
      <c r="BE1" s="455"/>
      <c r="BF1" s="392"/>
      <c r="BG1" s="392"/>
      <c r="BH1" s="392"/>
      <c r="BI1" s="392"/>
      <c r="BJ1" s="392"/>
    </row>
    <row r="2" spans="1:62" ht="12.6" customHeight="1">
      <c r="A2" s="67"/>
      <c r="B2" s="454" t="str">
        <f>"Mirtingumas nuo piktybinių navikų Lietuvoje  " &amp; GrafikaiSerg!A1 &amp; " metais. Moterys."</f>
        <v>Mirtingumas nuo piktybinių navikų Lietuvoje  2015 metais. Moterys.</v>
      </c>
      <c r="C2" s="454"/>
      <c r="D2" s="454"/>
      <c r="E2" s="70"/>
      <c r="F2" s="67"/>
      <c r="G2" s="67"/>
      <c r="H2" s="72"/>
      <c r="I2" s="72"/>
      <c r="J2" s="72"/>
      <c r="K2" s="72"/>
      <c r="L2" s="72"/>
      <c r="M2" s="72"/>
      <c r="N2" s="72"/>
      <c r="O2" s="72"/>
      <c r="P2" s="72"/>
      <c r="Q2" s="317"/>
      <c r="R2" s="561"/>
      <c r="S2" s="456" t="s">
        <v>354</v>
      </c>
      <c r="T2" s="556" t="s">
        <v>358</v>
      </c>
      <c r="U2" s="556"/>
      <c r="V2" s="556"/>
      <c r="W2" s="457">
        <f>GrafikaiSerg!A1</f>
        <v>2015</v>
      </c>
      <c r="X2" s="455" t="s">
        <v>357</v>
      </c>
      <c r="Y2" s="455" t="str">
        <f>CONCATENATE("pop",RIGHT(W2,2),"m")</f>
        <v>pop15m</v>
      </c>
      <c r="Z2" s="455"/>
      <c r="AA2" s="455"/>
      <c r="AB2" s="455"/>
      <c r="AC2" s="455"/>
      <c r="AD2" s="455"/>
      <c r="AE2" s="455"/>
      <c r="AF2" s="455"/>
      <c r="AG2" s="455"/>
      <c r="AH2" s="455"/>
      <c r="AI2" s="455"/>
      <c r="AJ2" s="455"/>
      <c r="AK2" s="455"/>
      <c r="AL2" s="458" t="s">
        <v>356</v>
      </c>
      <c r="AM2" s="456" t="s">
        <v>354</v>
      </c>
      <c r="AN2" s="556" t="s">
        <v>358</v>
      </c>
      <c r="AO2" s="556"/>
      <c r="AP2" s="556"/>
      <c r="AQ2" s="457" t="e">
        <f>#REF!</f>
        <v>#REF!</v>
      </c>
      <c r="AR2" s="455" t="s">
        <v>357</v>
      </c>
      <c r="AS2" s="455" t="e">
        <f>CONCATENATE("pop",RIGHT(AQ2,2),"m")</f>
        <v>#REF!</v>
      </c>
      <c r="AT2" s="455"/>
      <c r="AU2" s="455"/>
      <c r="AV2" s="455"/>
      <c r="AW2" s="455"/>
      <c r="AX2" s="455"/>
      <c r="AY2" s="455"/>
      <c r="AZ2" s="455"/>
      <c r="BA2" s="455"/>
      <c r="BB2" s="455"/>
      <c r="BC2" s="455"/>
      <c r="BD2" s="455"/>
      <c r="BE2" s="455"/>
      <c r="BF2" s="392"/>
      <c r="BG2" s="392"/>
      <c r="BH2" s="392"/>
      <c r="BI2" s="392"/>
      <c r="BJ2" s="392"/>
    </row>
    <row r="3" spans="1:62" ht="12.6" customHeight="1">
      <c r="A3" s="67"/>
      <c r="B3" s="70" t="s">
        <v>621</v>
      </c>
      <c r="C3" s="67"/>
      <c r="D3" s="67"/>
      <c r="E3" s="67"/>
      <c r="F3" s="69"/>
      <c r="G3" s="67"/>
      <c r="H3" s="72"/>
      <c r="I3" s="72"/>
      <c r="J3" s="72"/>
      <c r="K3" s="72"/>
      <c r="L3" s="72"/>
      <c r="M3" s="72"/>
      <c r="N3" s="72"/>
      <c r="O3" s="72"/>
      <c r="P3" s="72"/>
      <c r="Q3" s="323"/>
      <c r="R3" s="459" t="s">
        <v>408</v>
      </c>
      <c r="S3" s="460">
        <f>SUM(T3:AK3)</f>
        <v>100000</v>
      </c>
      <c r="T3" s="461">
        <v>8000</v>
      </c>
      <c r="U3" s="461">
        <v>7000</v>
      </c>
      <c r="V3" s="461">
        <v>7000</v>
      </c>
      <c r="W3" s="461">
        <v>7000</v>
      </c>
      <c r="X3" s="461">
        <v>7000</v>
      </c>
      <c r="Y3" s="461">
        <v>7000</v>
      </c>
      <c r="Z3" s="461">
        <v>7000</v>
      </c>
      <c r="AA3" s="461">
        <v>7000</v>
      </c>
      <c r="AB3" s="461">
        <v>7000</v>
      </c>
      <c r="AC3" s="461">
        <v>7000</v>
      </c>
      <c r="AD3" s="461">
        <v>7000</v>
      </c>
      <c r="AE3" s="461">
        <v>6000</v>
      </c>
      <c r="AF3" s="461">
        <v>5000</v>
      </c>
      <c r="AG3" s="461">
        <v>4000</v>
      </c>
      <c r="AH3" s="461">
        <v>3000</v>
      </c>
      <c r="AI3" s="461">
        <v>2000</v>
      </c>
      <c r="AJ3" s="461">
        <v>1000</v>
      </c>
      <c r="AK3" s="461">
        <v>1000</v>
      </c>
      <c r="AL3" s="459" t="str">
        <f>IF(AK3 = "easr", "Standartinė populiacija Europos", "Standartinė populiacija Pasaulio")</f>
        <v>Standartinė populiacija Pasaulio</v>
      </c>
      <c r="AM3" s="460">
        <f>SUM(AN3:BE3)</f>
        <v>100000</v>
      </c>
      <c r="AN3" s="455">
        <v>12000</v>
      </c>
      <c r="AO3" s="455">
        <v>10000</v>
      </c>
      <c r="AP3" s="455">
        <v>9000</v>
      </c>
      <c r="AQ3" s="455">
        <v>9000</v>
      </c>
      <c r="AR3" s="455">
        <v>8000</v>
      </c>
      <c r="AS3" s="455">
        <v>8000</v>
      </c>
      <c r="AT3" s="455">
        <v>6000</v>
      </c>
      <c r="AU3" s="455">
        <v>6000</v>
      </c>
      <c r="AV3" s="455">
        <v>6000</v>
      </c>
      <c r="AW3" s="455">
        <v>6000</v>
      </c>
      <c r="AX3" s="455">
        <v>5000</v>
      </c>
      <c r="AY3" s="455">
        <v>4000</v>
      </c>
      <c r="AZ3" s="455">
        <v>4000</v>
      </c>
      <c r="BA3" s="455">
        <v>3000</v>
      </c>
      <c r="BB3" s="455">
        <v>2000</v>
      </c>
      <c r="BC3" s="455">
        <v>1000</v>
      </c>
      <c r="BD3" s="455">
        <v>500</v>
      </c>
      <c r="BE3" s="455">
        <v>500</v>
      </c>
      <c r="BF3" s="392"/>
      <c r="BG3" s="392"/>
      <c r="BH3" s="392"/>
      <c r="BI3" s="392"/>
      <c r="BJ3" s="392"/>
    </row>
    <row r="4" spans="1:62" ht="12.95" customHeight="1">
      <c r="A4" s="67"/>
      <c r="B4" s="524" t="s">
        <v>351</v>
      </c>
      <c r="C4" s="524" t="s">
        <v>244</v>
      </c>
      <c r="D4" s="557" t="s">
        <v>268</v>
      </c>
      <c r="E4" s="559" t="s">
        <v>355</v>
      </c>
      <c r="F4" s="529" t="s">
        <v>359</v>
      </c>
      <c r="G4" s="528"/>
      <c r="H4" s="72"/>
      <c r="I4" s="72"/>
      <c r="J4" s="72"/>
      <c r="K4" s="72"/>
      <c r="L4" s="72"/>
      <c r="M4" s="72"/>
      <c r="N4" s="72"/>
      <c r="O4" s="72"/>
      <c r="P4" s="72"/>
      <c r="Q4" s="327"/>
      <c r="R4" s="455" t="s">
        <v>450</v>
      </c>
      <c r="S4" s="460">
        <f>SUM(T4:AK4)</f>
        <v>1566978</v>
      </c>
      <c r="T4" s="329">
        <f>HLOOKUP($Y$2,Populiacija!$B$1:$BB$40,23,FALSE)</f>
        <v>73573</v>
      </c>
      <c r="U4" s="329">
        <f>HLOOKUP($Y$2,Populiacija!$B$1:$BB$40,24,FALSE)</f>
        <v>68112</v>
      </c>
      <c r="V4" s="329">
        <f>HLOOKUP($Y$2,Populiacija!$B$1:$BB$40,25,FALSE)</f>
        <v>65394</v>
      </c>
      <c r="W4" s="329">
        <f>HLOOKUP($Y$2,Populiacija!$B$1:$BB$40,26,FALSE)</f>
        <v>80822</v>
      </c>
      <c r="X4" s="329">
        <f>HLOOKUP($Y$2,Populiacija!$B$1:$BB$40,27,FALSE)</f>
        <v>98060</v>
      </c>
      <c r="Y4" s="329">
        <f>HLOOKUP($Y$2,Populiacija!$B$1:$BB$40,28,FALSE)</f>
        <v>95144</v>
      </c>
      <c r="Z4" s="329">
        <f>HLOOKUP($Y$2,Populiacija!$B$1:$BB$40,29,FALSE)</f>
        <v>87782</v>
      </c>
      <c r="AA4" s="329">
        <f>HLOOKUP($Y$2,Populiacija!$B$1:$BB$40,30,FALSE)</f>
        <v>89193</v>
      </c>
      <c r="AB4" s="329">
        <f>HLOOKUP($Y$2,Populiacija!$B$1:$BB$40,31,FALSE)</f>
        <v>102361</v>
      </c>
      <c r="AC4" s="329">
        <f>HLOOKUP($Y$2,Populiacija!$B$1:$BB$40,32,FALSE)</f>
        <v>108831</v>
      </c>
      <c r="AD4" s="329">
        <f>HLOOKUP($Y$2,Populiacija!$B$1:$BB$40,33,FALSE)</f>
        <v>119456</v>
      </c>
      <c r="AE4" s="329">
        <f>HLOOKUP($Y$2,Populiacija!$B$1:$BB$40,34,FALSE)</f>
        <v>116878</v>
      </c>
      <c r="AF4" s="329">
        <f>HLOOKUP($Y$2,Populiacija!$B$1:$BB$40,35,FALSE)</f>
        <v>97783</v>
      </c>
      <c r="AG4" s="329">
        <f>HLOOKUP($Y$2,Populiacija!$B$1:$BB$40,36,FALSE)</f>
        <v>88018</v>
      </c>
      <c r="AH4" s="329">
        <f>HLOOKUP($Y$2,Populiacija!$B$1:$BB$40,37,FALSE)</f>
        <v>84213</v>
      </c>
      <c r="AI4" s="329">
        <f>HLOOKUP($Y$2,Populiacija!$B$1:$BB$40,38,FALSE)</f>
        <v>81014</v>
      </c>
      <c r="AJ4" s="329">
        <f>HLOOKUP($Y$2,Populiacija!$B$1:$BB$40,39,FALSE)</f>
        <v>61046</v>
      </c>
      <c r="AK4" s="329">
        <f>HLOOKUP($Y$2,Populiacija!$B$1:$BB$40,40,FALSE)</f>
        <v>49298</v>
      </c>
      <c r="AL4" s="455" t="s">
        <v>450</v>
      </c>
      <c r="AM4" s="460">
        <f>SUM(AN4:BE4)</f>
        <v>1566978</v>
      </c>
      <c r="AN4" s="329">
        <f>HLOOKUP($Y$2,Populiacija!$B$1:$BB$40,23,FALSE)</f>
        <v>73573</v>
      </c>
      <c r="AO4" s="329">
        <f>HLOOKUP($Y$2,Populiacija!$B$1:$BB$40,24,FALSE)</f>
        <v>68112</v>
      </c>
      <c r="AP4" s="329">
        <f>HLOOKUP($Y$2,Populiacija!$B$1:$BB$40,25,FALSE)</f>
        <v>65394</v>
      </c>
      <c r="AQ4" s="329">
        <f>HLOOKUP($Y$2,Populiacija!$B$1:$BB$40,26,FALSE)</f>
        <v>80822</v>
      </c>
      <c r="AR4" s="329">
        <f>HLOOKUP($Y$2,Populiacija!$B$1:$BB$40,27,FALSE)</f>
        <v>98060</v>
      </c>
      <c r="AS4" s="329">
        <f>HLOOKUP($Y$2,Populiacija!$B$1:$BB$40,28,FALSE)</f>
        <v>95144</v>
      </c>
      <c r="AT4" s="329">
        <f>HLOOKUP($Y$2,Populiacija!$B$1:$BB$40,29,FALSE)</f>
        <v>87782</v>
      </c>
      <c r="AU4" s="329">
        <f>HLOOKUP($Y$2,Populiacija!$B$1:$BB$40,30,FALSE)</f>
        <v>89193</v>
      </c>
      <c r="AV4" s="329">
        <f>HLOOKUP($Y$2,Populiacija!$B$1:$BB$40,31,FALSE)</f>
        <v>102361</v>
      </c>
      <c r="AW4" s="329">
        <f>HLOOKUP($Y$2,Populiacija!$B$1:$BB$40,32,FALSE)</f>
        <v>108831</v>
      </c>
      <c r="AX4" s="329">
        <f>HLOOKUP($Y$2,Populiacija!$B$1:$BB$40,33,FALSE)</f>
        <v>119456</v>
      </c>
      <c r="AY4" s="329">
        <f>HLOOKUP($Y$2,Populiacija!$B$1:$BB$40,34,FALSE)</f>
        <v>116878</v>
      </c>
      <c r="AZ4" s="329">
        <f>HLOOKUP($Y$2,Populiacija!$B$1:$BB$40,35,FALSE)</f>
        <v>97783</v>
      </c>
      <c r="BA4" s="329">
        <f>HLOOKUP($Y$2,Populiacija!$B$1:$BB$40,36,FALSE)</f>
        <v>88018</v>
      </c>
      <c r="BB4" s="329">
        <f>HLOOKUP($Y$2,Populiacija!$B$1:$BB$40,37,FALSE)</f>
        <v>84213</v>
      </c>
      <c r="BC4" s="329">
        <f>HLOOKUP($Y$2,Populiacija!$B$1:$BB$40,38,FALSE)</f>
        <v>81014</v>
      </c>
      <c r="BD4" s="329">
        <f>HLOOKUP($Y$2,Populiacija!$B$1:$BB$40,39,FALSE)</f>
        <v>61046</v>
      </c>
      <c r="BE4" s="329">
        <f>HLOOKUP($Y$2,Populiacija!$B$1:$BB$40,40,FALSE)</f>
        <v>49298</v>
      </c>
      <c r="BF4" s="392"/>
      <c r="BG4" s="392"/>
      <c r="BH4" s="392"/>
      <c r="BI4" s="392"/>
      <c r="BJ4" s="392"/>
    </row>
    <row r="5" spans="1:62" ht="12.95" customHeight="1" thickBot="1">
      <c r="A5" s="67"/>
      <c r="B5" s="525"/>
      <c r="C5" s="525"/>
      <c r="D5" s="558"/>
      <c r="E5" s="560"/>
      <c r="F5" s="144" t="s">
        <v>425</v>
      </c>
      <c r="G5" s="144" t="s">
        <v>426</v>
      </c>
      <c r="H5" s="74"/>
      <c r="I5" s="74"/>
      <c r="J5" s="74"/>
      <c r="K5" s="74"/>
      <c r="L5" s="74"/>
      <c r="M5" s="74"/>
      <c r="N5" s="74"/>
      <c r="O5" s="74"/>
      <c r="P5" s="73"/>
      <c r="Q5" s="329"/>
      <c r="R5" s="455" t="s">
        <v>352</v>
      </c>
      <c r="S5" s="456"/>
      <c r="T5" s="462" t="s">
        <v>13</v>
      </c>
      <c r="U5" s="463" t="s">
        <v>11</v>
      </c>
      <c r="V5" s="463" t="s">
        <v>12</v>
      </c>
      <c r="W5" s="462" t="s">
        <v>14</v>
      </c>
      <c r="X5" s="462" t="s">
        <v>15</v>
      </c>
      <c r="Y5" s="462" t="s">
        <v>16</v>
      </c>
      <c r="Z5" s="462" t="s">
        <v>158</v>
      </c>
      <c r="AA5" s="462" t="s">
        <v>17</v>
      </c>
      <c r="AB5" s="462" t="s">
        <v>18</v>
      </c>
      <c r="AC5" s="462" t="s">
        <v>19</v>
      </c>
      <c r="AD5" s="462" t="s">
        <v>20</v>
      </c>
      <c r="AE5" s="462" t="s">
        <v>21</v>
      </c>
      <c r="AF5" s="462" t="s">
        <v>159</v>
      </c>
      <c r="AG5" s="462" t="s">
        <v>160</v>
      </c>
      <c r="AH5" s="462" t="s">
        <v>161</v>
      </c>
      <c r="AI5" s="462" t="s">
        <v>162</v>
      </c>
      <c r="AJ5" s="462" t="s">
        <v>22</v>
      </c>
      <c r="AK5" s="462" t="s">
        <v>23</v>
      </c>
      <c r="AL5" s="455" t="s">
        <v>352</v>
      </c>
      <c r="AM5" s="456"/>
      <c r="AN5" s="462" t="s">
        <v>13</v>
      </c>
      <c r="AO5" s="463" t="s">
        <v>11</v>
      </c>
      <c r="AP5" s="463" t="s">
        <v>12</v>
      </c>
      <c r="AQ5" s="462" t="s">
        <v>14</v>
      </c>
      <c r="AR5" s="462" t="s">
        <v>15</v>
      </c>
      <c r="AS5" s="462" t="s">
        <v>16</v>
      </c>
      <c r="AT5" s="462" t="s">
        <v>158</v>
      </c>
      <c r="AU5" s="462" t="s">
        <v>17</v>
      </c>
      <c r="AV5" s="462" t="s">
        <v>18</v>
      </c>
      <c r="AW5" s="462" t="s">
        <v>19</v>
      </c>
      <c r="AX5" s="462" t="s">
        <v>20</v>
      </c>
      <c r="AY5" s="462" t="s">
        <v>21</v>
      </c>
      <c r="AZ5" s="462" t="s">
        <v>159</v>
      </c>
      <c r="BA5" s="462" t="s">
        <v>160</v>
      </c>
      <c r="BB5" s="462" t="s">
        <v>161</v>
      </c>
      <c r="BC5" s="462" t="s">
        <v>162</v>
      </c>
      <c r="BD5" s="462" t="s">
        <v>22</v>
      </c>
      <c r="BE5" s="462" t="s">
        <v>23</v>
      </c>
      <c r="BF5" s="392"/>
      <c r="BG5" s="392"/>
      <c r="BH5" s="392"/>
      <c r="BI5" s="392"/>
      <c r="BJ5" s="392"/>
    </row>
    <row r="6" spans="1:62" ht="12" customHeight="1" thickTop="1">
      <c r="A6" s="67"/>
      <c r="B6" s="129" t="str">
        <f>UPPER(LEFT(TRIM(Data!B5),1)) &amp; MID(TRIM(Data!B5),2,50)</f>
        <v>Piktybiniai navikai</v>
      </c>
      <c r="C6" s="129" t="str">
        <f>UPPER(LEFT(TRIM(Data!C5),1)) &amp; MID(TRIM(Data!C5),2,50)</f>
        <v>C00-C96</v>
      </c>
      <c r="D6" s="142">
        <f>Data!BR5</f>
        <v>3702</v>
      </c>
      <c r="E6" s="143">
        <f t="shared" ref="E6:E7" si="0">D6/$S$4*100000</f>
        <v>236.25092375259894</v>
      </c>
      <c r="F6" s="133">
        <f t="shared" ref="F6:F7" si="1">S6/$S$3</f>
        <v>131.65883492583157</v>
      </c>
      <c r="G6" s="133">
        <f t="shared" ref="G6:G7" si="2">AM6/$AM$3</f>
        <v>90.133160511502183</v>
      </c>
      <c r="H6" s="74"/>
      <c r="I6" s="74"/>
      <c r="J6" s="74"/>
      <c r="K6" s="74"/>
      <c r="L6" s="74"/>
      <c r="M6" s="74"/>
      <c r="N6" s="74"/>
      <c r="O6" s="74"/>
      <c r="P6" s="73"/>
      <c r="Q6" s="332"/>
      <c r="R6" s="464" t="s">
        <v>353</v>
      </c>
      <c r="S6" s="460">
        <f t="shared" ref="S6:S51" si="3">SUM(T6:AK6)</f>
        <v>13165883.492583157</v>
      </c>
      <c r="T6" s="460">
        <f>Data!DA5/T$4*100000*T$3</f>
        <v>21747.108314191348</v>
      </c>
      <c r="U6" s="460">
        <f>Data!DB5/U$4*100000*U$3</f>
        <v>20554.381019497301</v>
      </c>
      <c r="V6" s="460">
        <f>Data!DC5/V$4*100000*V$3</f>
        <v>10704.345964461572</v>
      </c>
      <c r="W6" s="460">
        <f>Data!DD5/W$4*100000*W$3</f>
        <v>25983.02442404296</v>
      </c>
      <c r="X6" s="460">
        <f>Data!DE5/X$4*100000*X$3</f>
        <v>7138.4866408321441</v>
      </c>
      <c r="Y6" s="460">
        <f>Data!DF5/Y$4*100000*Y$3</f>
        <v>29429.075927015892</v>
      </c>
      <c r="Z6" s="460">
        <f>Data!DG5/Z$4*100000*Z$3</f>
        <v>127588.79952609875</v>
      </c>
      <c r="AA6" s="460">
        <f>Data!DH5/AA$4*100000*AA$3</f>
        <v>235444.48555379908</v>
      </c>
      <c r="AB6" s="460">
        <f>Data!DI5/AB$4*100000*AB$3</f>
        <v>533406.27778157697</v>
      </c>
      <c r="AC6" s="460">
        <f>Data!DJ5/AC$4*100000*AC$3</f>
        <v>713950.98822945671</v>
      </c>
      <c r="AD6" s="460">
        <f>Data!DK5/AD$4*100000*AD$3</f>
        <v>1166119.7428341818</v>
      </c>
      <c r="AE6" s="460">
        <f>Data!DL5/AE$4*100000*AE$3</f>
        <v>1360392.8883108883</v>
      </c>
      <c r="AF6" s="460">
        <f>Data!DM5/AF$4*100000*AF$3</f>
        <v>1758996.9626622214</v>
      </c>
      <c r="AG6" s="460">
        <f>Data!DN5/AG$4*100000*AG$3</f>
        <v>1931423.1179985914</v>
      </c>
      <c r="AH6" s="460">
        <f>Data!DO5/AH$4*100000*AH$3</f>
        <v>1649389.0491966798</v>
      </c>
      <c r="AI6" s="460">
        <f>Data!DP5/AI$4*100000*AI$3</f>
        <v>1436788.7031871034</v>
      </c>
      <c r="AJ6" s="460">
        <f>Data!DQ5/AJ$4*100000*AJ$3</f>
        <v>1043475.4119844051</v>
      </c>
      <c r="AK6" s="460">
        <f>Data!DR5/AK$4*100000*AK$3</f>
        <v>1093350.6430281147</v>
      </c>
      <c r="AL6" s="464" t="s">
        <v>353</v>
      </c>
      <c r="AM6" s="460">
        <f t="shared" ref="AM6:AM51" si="4">SUM(AN6:BE6)</f>
        <v>9013316.0511502177</v>
      </c>
      <c r="AN6" s="460">
        <f>Data!DA5/AN$4*100000*AN$3</f>
        <v>32620.662471287022</v>
      </c>
      <c r="AO6" s="460">
        <f>Data!DB5/AO$4*100000*AO$3</f>
        <v>29363.401456424715</v>
      </c>
      <c r="AP6" s="460">
        <f>Data!DC5/AP$4*100000*AP$3</f>
        <v>13762.730525736308</v>
      </c>
      <c r="AQ6" s="460">
        <f>Data!DD5/AQ$4*100000*AQ$3</f>
        <v>33406.745688055234</v>
      </c>
      <c r="AR6" s="460">
        <f>Data!DE5/AR$4*100000*AR$3</f>
        <v>8158.2704466653076</v>
      </c>
      <c r="AS6" s="460">
        <f>Data!DF5/AS$4*100000*AS$3</f>
        <v>33633.229630875307</v>
      </c>
      <c r="AT6" s="460">
        <f>Data!DG5/AT$4*100000*AT$3</f>
        <v>109361.8281652275</v>
      </c>
      <c r="AU6" s="460">
        <f>Data!DH5/AU$4*100000*AU$3</f>
        <v>201809.55904611351</v>
      </c>
      <c r="AV6" s="460">
        <f>Data!DI5/AV$4*100000*AV$3</f>
        <v>457205.38095563737</v>
      </c>
      <c r="AW6" s="460">
        <f>Data!DJ5/AW$4*100000*AW$3</f>
        <v>611957.98991096288</v>
      </c>
      <c r="AX6" s="460">
        <f>Data!DK5/AX$4*100000*AX$3</f>
        <v>832942.67345298687</v>
      </c>
      <c r="AY6" s="460">
        <f>Data!DL5/AY$4*100000*AY$3</f>
        <v>906928.5922072588</v>
      </c>
      <c r="AZ6" s="460">
        <f>Data!DM5/AZ$4*100000*AZ$3</f>
        <v>1407197.5701297773</v>
      </c>
      <c r="BA6" s="460">
        <f>Data!DN5/BA$4*100000*BA$3</f>
        <v>1448567.3384989435</v>
      </c>
      <c r="BB6" s="460">
        <f>Data!DO5/BB$4*100000*BB$3</f>
        <v>1099592.6994644534</v>
      </c>
      <c r="BC6" s="460">
        <f>Data!DP5/BC$4*100000*BC$3</f>
        <v>718394.35159355169</v>
      </c>
      <c r="BD6" s="460">
        <f>Data!DQ5/BD$4*100000*BD$3</f>
        <v>521737.70599220257</v>
      </c>
      <c r="BE6" s="460">
        <f>Data!DR5/BE$4*100000*BE$3</f>
        <v>546675.32151405734</v>
      </c>
      <c r="BF6" s="392"/>
      <c r="BG6" s="392"/>
      <c r="BH6" s="392"/>
      <c r="BI6" s="392"/>
      <c r="BJ6" s="392"/>
    </row>
    <row r="7" spans="1:62" ht="12" customHeight="1">
      <c r="A7" s="67"/>
      <c r="B7" s="151" t="str">
        <f>UPPER(LEFT(TRIM(Data!B6),1)) &amp; MID(TRIM(Data!B6),2,50)</f>
        <v>Lūpos</v>
      </c>
      <c r="C7" s="145" t="str">
        <f>UPPER(LEFT(TRIM(Data!C6),1)) &amp; MID(TRIM(Data!C6),2,50)</f>
        <v>C00</v>
      </c>
      <c r="D7" s="152">
        <f>Data!BR6</f>
        <v>2</v>
      </c>
      <c r="E7" s="153">
        <f t="shared" si="0"/>
        <v>0.12763421056326252</v>
      </c>
      <c r="F7" s="154">
        <f t="shared" si="1"/>
        <v>4.0569597143900363E-2</v>
      </c>
      <c r="G7" s="154">
        <f t="shared" si="2"/>
        <v>2.0284798571950181E-2</v>
      </c>
      <c r="H7" s="74"/>
      <c r="I7" s="74"/>
      <c r="J7" s="74"/>
      <c r="K7" s="74"/>
      <c r="L7" s="74"/>
      <c r="M7" s="74"/>
      <c r="N7" s="74"/>
      <c r="O7" s="74"/>
      <c r="P7" s="73"/>
      <c r="Q7" s="332"/>
      <c r="R7" s="464" t="s">
        <v>353</v>
      </c>
      <c r="S7" s="460">
        <f t="shared" si="3"/>
        <v>4056.959714390036</v>
      </c>
      <c r="T7" s="460">
        <f>Data!DA6/T$4*100000*T$3</f>
        <v>0</v>
      </c>
      <c r="U7" s="460">
        <f>Data!DB6/U$4*100000*U$3</f>
        <v>0</v>
      </c>
      <c r="V7" s="460">
        <f>Data!DC6/V$4*100000*V$3</f>
        <v>0</v>
      </c>
      <c r="W7" s="460">
        <f>Data!DD6/W$4*100000*W$3</f>
        <v>0</v>
      </c>
      <c r="X7" s="460">
        <f>Data!DE6/X$4*100000*X$3</f>
        <v>0</v>
      </c>
      <c r="Y7" s="460">
        <f>Data!DF6/Y$4*100000*Y$3</f>
        <v>0</v>
      </c>
      <c r="Z7" s="460">
        <f>Data!DG6/Z$4*100000*Z$3</f>
        <v>0</v>
      </c>
      <c r="AA7" s="460">
        <f>Data!DH6/AA$4*100000*AA$3</f>
        <v>0</v>
      </c>
      <c r="AB7" s="460">
        <f>Data!DI6/AB$4*100000*AB$3</f>
        <v>0</v>
      </c>
      <c r="AC7" s="460">
        <f>Data!DJ6/AC$4*100000*AC$3</f>
        <v>0</v>
      </c>
      <c r="AD7" s="460">
        <f>Data!DK6/AD$4*100000*AD$3</f>
        <v>0</v>
      </c>
      <c r="AE7" s="460">
        <f>Data!DL6/AE$4*100000*AE$3</f>
        <v>0</v>
      </c>
      <c r="AF7" s="460">
        <f>Data!DM6/AF$4*100000*AF$3</f>
        <v>0</v>
      </c>
      <c r="AG7" s="460">
        <f>Data!DN6/AG$4*100000*AG$3</f>
        <v>0</v>
      </c>
      <c r="AH7" s="460">
        <f>Data!DO6/AH$4*100000*AH$3</f>
        <v>0</v>
      </c>
      <c r="AI7" s="460">
        <f>Data!DP6/AI$4*100000*AI$3</f>
        <v>0</v>
      </c>
      <c r="AJ7" s="460">
        <f>Data!DQ6/AJ$4*100000*AJ$3</f>
        <v>0</v>
      </c>
      <c r="AK7" s="460">
        <f>Data!DR6/AK$4*100000*AK$3</f>
        <v>4056.959714390036</v>
      </c>
      <c r="AL7" s="464" t="s">
        <v>353</v>
      </c>
      <c r="AM7" s="460">
        <f t="shared" si="4"/>
        <v>2028.479857195018</v>
      </c>
      <c r="AN7" s="460">
        <f>Data!DA6/AN$4*100000*AN$3</f>
        <v>0</v>
      </c>
      <c r="AO7" s="460">
        <f>Data!DB6/AO$4*100000*AO$3</f>
        <v>0</v>
      </c>
      <c r="AP7" s="460">
        <f>Data!DC6/AP$4*100000*AP$3</f>
        <v>0</v>
      </c>
      <c r="AQ7" s="460">
        <f>Data!DD6/AQ$4*100000*AQ$3</f>
        <v>0</v>
      </c>
      <c r="AR7" s="460">
        <f>Data!DE6/AR$4*100000*AR$3</f>
        <v>0</v>
      </c>
      <c r="AS7" s="460">
        <f>Data!DF6/AS$4*100000*AS$3</f>
        <v>0</v>
      </c>
      <c r="AT7" s="460">
        <f>Data!DG6/AT$4*100000*AT$3</f>
        <v>0</v>
      </c>
      <c r="AU7" s="460">
        <f>Data!DH6/AU$4*100000*AU$3</f>
        <v>0</v>
      </c>
      <c r="AV7" s="460">
        <f>Data!DI6/AV$4*100000*AV$3</f>
        <v>0</v>
      </c>
      <c r="AW7" s="460">
        <f>Data!DJ6/AW$4*100000*AW$3</f>
        <v>0</v>
      </c>
      <c r="AX7" s="460">
        <f>Data!DK6/AX$4*100000*AX$3</f>
        <v>0</v>
      </c>
      <c r="AY7" s="460">
        <f>Data!DL6/AY$4*100000*AY$3</f>
        <v>0</v>
      </c>
      <c r="AZ7" s="460">
        <f>Data!DM6/AZ$4*100000*AZ$3</f>
        <v>0</v>
      </c>
      <c r="BA7" s="460">
        <f>Data!DN6/BA$4*100000*BA$3</f>
        <v>0</v>
      </c>
      <c r="BB7" s="460">
        <f>Data!DO6/BB$4*100000*BB$3</f>
        <v>0</v>
      </c>
      <c r="BC7" s="460">
        <f>Data!DP6/BC$4*100000*BC$3</f>
        <v>0</v>
      </c>
      <c r="BD7" s="460">
        <f>Data!DQ6/BD$4*100000*BD$3</f>
        <v>0</v>
      </c>
      <c r="BE7" s="460">
        <f>Data!DR6/BE$4*100000*BE$3</f>
        <v>2028.479857195018</v>
      </c>
      <c r="BF7" s="392"/>
      <c r="BG7" s="392"/>
      <c r="BH7" s="392"/>
      <c r="BI7" s="392"/>
      <c r="BJ7" s="392"/>
    </row>
    <row r="8" spans="1:62" ht="12" customHeight="1">
      <c r="A8" s="67"/>
      <c r="B8" s="129" t="str">
        <f>UPPER(LEFT(TRIM(Data!B7),1)) &amp; MID(TRIM(Data!B7),2,50)</f>
        <v>Burnos ertmės ir ryklės</v>
      </c>
      <c r="C8" s="129" t="str">
        <f>UPPER(LEFT(TRIM(Data!C7),1)) &amp; MID(TRIM(Data!C7),2,50)</f>
        <v>C01-C14</v>
      </c>
      <c r="D8" s="142">
        <f>Data!BR7</f>
        <v>58</v>
      </c>
      <c r="E8" s="143">
        <f t="shared" ref="E8:E51" si="5">D8/$S$4*100000</f>
        <v>3.7013921063346138</v>
      </c>
      <c r="F8" s="133">
        <f t="shared" ref="F8:F51" si="6">S8/$S$3</f>
        <v>2.4917432221956357</v>
      </c>
      <c r="G8" s="133">
        <f t="shared" ref="G8:G51" si="7">AM8/$AM$3</f>
        <v>1.7783413225603049</v>
      </c>
      <c r="H8" s="74"/>
      <c r="I8" s="74"/>
      <c r="J8" s="74"/>
      <c r="K8" s="74"/>
      <c r="L8" s="74"/>
      <c r="M8" s="74"/>
      <c r="N8" s="74"/>
      <c r="O8" s="74"/>
      <c r="P8" s="73"/>
      <c r="Q8" s="317"/>
      <c r="R8" s="464" t="s">
        <v>353</v>
      </c>
      <c r="S8" s="460">
        <f t="shared" si="3"/>
        <v>249174.32221956359</v>
      </c>
      <c r="T8" s="460">
        <f>Data!DA7/T$4*100000*T$3</f>
        <v>0</v>
      </c>
      <c r="U8" s="460">
        <f>Data!DB7/U$4*100000*U$3</f>
        <v>0</v>
      </c>
      <c r="V8" s="460">
        <f>Data!DC7/V$4*100000*V$3</f>
        <v>0</v>
      </c>
      <c r="W8" s="460">
        <f>Data!DD7/W$4*100000*W$3</f>
        <v>0</v>
      </c>
      <c r="X8" s="460">
        <f>Data!DE7/X$4*100000*X$3</f>
        <v>0</v>
      </c>
      <c r="Y8" s="460">
        <f>Data!DF7/Y$4*100000*Y$3</f>
        <v>0</v>
      </c>
      <c r="Z8" s="460">
        <f>Data!DG7/Z$4*100000*Z$3</f>
        <v>0</v>
      </c>
      <c r="AA8" s="460">
        <f>Data!DH7/AA$4*100000*AA$3</f>
        <v>0</v>
      </c>
      <c r="AB8" s="460">
        <f>Data!DI7/AB$4*100000*AB$3</f>
        <v>20515.62606852219</v>
      </c>
      <c r="AC8" s="460">
        <f>Data!DJ7/AC$4*100000*AC$3</f>
        <v>19295.972654850182</v>
      </c>
      <c r="AD8" s="460">
        <f>Data!DK7/AD$4*100000*AD$3</f>
        <v>52739.083846772039</v>
      </c>
      <c r="AE8" s="460">
        <f>Data!DL7/AE$4*100000*AE$3</f>
        <v>30801.348414586148</v>
      </c>
      <c r="AF8" s="460">
        <f>Data!DM7/AF$4*100000*AF$3</f>
        <v>25566.816317764846</v>
      </c>
      <c r="AG8" s="460">
        <f>Data!DN7/AG$4*100000*AG$3</f>
        <v>45445.249835260976</v>
      </c>
      <c r="AH8" s="460">
        <f>Data!DO7/AH$4*100000*AH$3</f>
        <v>21374.372127818744</v>
      </c>
      <c r="AI8" s="460">
        <f>Data!DP7/AI$4*100000*AI$3</f>
        <v>9874.8364480213313</v>
      </c>
      <c r="AJ8" s="460">
        <f>Data!DQ7/AJ$4*100000*AJ$3</f>
        <v>3276.2179340169714</v>
      </c>
      <c r="AK8" s="460">
        <f>Data!DR7/AK$4*100000*AK$3</f>
        <v>20284.798571950181</v>
      </c>
      <c r="AL8" s="464" t="s">
        <v>353</v>
      </c>
      <c r="AM8" s="460">
        <f t="shared" si="4"/>
        <v>177834.13225603048</v>
      </c>
      <c r="AN8" s="460">
        <f>Data!DA7/AN$4*100000*AN$3</f>
        <v>0</v>
      </c>
      <c r="AO8" s="460">
        <f>Data!DB7/AO$4*100000*AO$3</f>
        <v>0</v>
      </c>
      <c r="AP8" s="460">
        <f>Data!DC7/AP$4*100000*AP$3</f>
        <v>0</v>
      </c>
      <c r="AQ8" s="460">
        <f>Data!DD7/AQ$4*100000*AQ$3</f>
        <v>0</v>
      </c>
      <c r="AR8" s="460">
        <f>Data!DE7/AR$4*100000*AR$3</f>
        <v>0</v>
      </c>
      <c r="AS8" s="460">
        <f>Data!DF7/AS$4*100000*AS$3</f>
        <v>0</v>
      </c>
      <c r="AT8" s="460">
        <f>Data!DG7/AT$4*100000*AT$3</f>
        <v>0</v>
      </c>
      <c r="AU8" s="460">
        <f>Data!DH7/AU$4*100000*AU$3</f>
        <v>0</v>
      </c>
      <c r="AV8" s="460">
        <f>Data!DI7/AV$4*100000*AV$3</f>
        <v>17584.822344447592</v>
      </c>
      <c r="AW8" s="460">
        <f>Data!DJ7/AW$4*100000*AW$3</f>
        <v>16539.405132728727</v>
      </c>
      <c r="AX8" s="460">
        <f>Data!DK7/AX$4*100000*AX$3</f>
        <v>37670.774176265739</v>
      </c>
      <c r="AY8" s="460">
        <f>Data!DL7/AY$4*100000*AY$3</f>
        <v>20534.232276390765</v>
      </c>
      <c r="AZ8" s="460">
        <f>Data!DM7/AZ$4*100000*AZ$3</f>
        <v>20453.453054211877</v>
      </c>
      <c r="BA8" s="460">
        <f>Data!DN7/BA$4*100000*BA$3</f>
        <v>34083.937376445727</v>
      </c>
      <c r="BB8" s="460">
        <f>Data!DO7/BB$4*100000*BB$3</f>
        <v>14249.581418545829</v>
      </c>
      <c r="BC8" s="460">
        <f>Data!DP7/BC$4*100000*BC$3</f>
        <v>4937.4182240106657</v>
      </c>
      <c r="BD8" s="460">
        <f>Data!DQ7/BD$4*100000*BD$3</f>
        <v>1638.1089670084857</v>
      </c>
      <c r="BE8" s="460">
        <f>Data!DR7/BE$4*100000*BE$3</f>
        <v>10142.399285975091</v>
      </c>
      <c r="BF8" s="392"/>
      <c r="BG8" s="392"/>
      <c r="BH8" s="392"/>
      <c r="BI8" s="392"/>
      <c r="BJ8" s="392"/>
    </row>
    <row r="9" spans="1:62" ht="12" customHeight="1">
      <c r="A9" s="67"/>
      <c r="B9" s="151" t="str">
        <f>UPPER(LEFT(TRIM(Data!B8),1)) &amp; MID(TRIM(Data!B8),2,50)</f>
        <v>Stemplės</v>
      </c>
      <c r="C9" s="145" t="str">
        <f>UPPER(LEFT(TRIM(Data!C8),1)) &amp; MID(TRIM(Data!C8),2,50)</f>
        <v>C15</v>
      </c>
      <c r="D9" s="152">
        <f>Data!BR8</f>
        <v>31</v>
      </c>
      <c r="E9" s="153">
        <f t="shared" si="5"/>
        <v>1.9783302637305691</v>
      </c>
      <c r="F9" s="154">
        <f t="shared" si="6"/>
        <v>1.1541306609782156</v>
      </c>
      <c r="G9" s="154">
        <f t="shared" si="7"/>
        <v>0.78179163411088248</v>
      </c>
      <c r="H9" s="74"/>
      <c r="I9" s="74"/>
      <c r="J9" s="74"/>
      <c r="K9" s="74"/>
      <c r="L9" s="74"/>
      <c r="M9" s="74"/>
      <c r="N9" s="74"/>
      <c r="O9" s="74"/>
      <c r="P9" s="73"/>
      <c r="Q9" s="317"/>
      <c r="R9" s="464" t="s">
        <v>353</v>
      </c>
      <c r="S9" s="460">
        <f t="shared" si="3"/>
        <v>115413.06609782156</v>
      </c>
      <c r="T9" s="460">
        <f>Data!DA8/T$4*100000*T$3</f>
        <v>0</v>
      </c>
      <c r="U9" s="460">
        <f>Data!DB8/U$4*100000*U$3</f>
        <v>0</v>
      </c>
      <c r="V9" s="460">
        <f>Data!DC8/V$4*100000*V$3</f>
        <v>0</v>
      </c>
      <c r="W9" s="460">
        <f>Data!DD8/W$4*100000*W$3</f>
        <v>0</v>
      </c>
      <c r="X9" s="460">
        <f>Data!DE8/X$4*100000*X$3</f>
        <v>0</v>
      </c>
      <c r="Y9" s="460">
        <f>Data!DF8/Y$4*100000*Y$3</f>
        <v>0</v>
      </c>
      <c r="Z9" s="460">
        <f>Data!DG8/Z$4*100000*Z$3</f>
        <v>0</v>
      </c>
      <c r="AA9" s="460">
        <f>Data!DH8/AA$4*100000*AA$3</f>
        <v>0</v>
      </c>
      <c r="AB9" s="460">
        <f>Data!DI8/AB$4*100000*AB$3</f>
        <v>6838.5420228407311</v>
      </c>
      <c r="AC9" s="460">
        <f>Data!DJ8/AC$4*100000*AC$3</f>
        <v>0</v>
      </c>
      <c r="AD9" s="460">
        <f>Data!DK8/AD$4*100000*AD$3</f>
        <v>11719.796410393787</v>
      </c>
      <c r="AE9" s="460">
        <f>Data!DL8/AE$4*100000*AE$3</f>
        <v>30801.348414586148</v>
      </c>
      <c r="AF9" s="460">
        <f>Data!DM8/AF$4*100000*AF$3</f>
        <v>15340.089790658909</v>
      </c>
      <c r="AG9" s="460">
        <f>Data!DN8/AG$4*100000*AG$3</f>
        <v>13633.574950578293</v>
      </c>
      <c r="AH9" s="460">
        <f>Data!DO8/AH$4*100000*AH$3</f>
        <v>14249.581418545829</v>
      </c>
      <c r="AI9" s="460">
        <f>Data!DP8/AI$4*100000*AI$3</f>
        <v>2468.7091120053328</v>
      </c>
      <c r="AJ9" s="460">
        <f>Data!DQ8/AJ$4*100000*AJ$3</f>
        <v>8190.5448350424276</v>
      </c>
      <c r="AK9" s="460">
        <f>Data!DR8/AK$4*100000*AK$3</f>
        <v>12170.879143170108</v>
      </c>
      <c r="AL9" s="464" t="s">
        <v>353</v>
      </c>
      <c r="AM9" s="460">
        <f t="shared" si="4"/>
        <v>78179.163411088244</v>
      </c>
      <c r="AN9" s="460">
        <f>Data!DA8/AN$4*100000*AN$3</f>
        <v>0</v>
      </c>
      <c r="AO9" s="460">
        <f>Data!DB8/AO$4*100000*AO$3</f>
        <v>0</v>
      </c>
      <c r="AP9" s="460">
        <f>Data!DC8/AP$4*100000*AP$3</f>
        <v>0</v>
      </c>
      <c r="AQ9" s="460">
        <f>Data!DD8/AQ$4*100000*AQ$3</f>
        <v>0</v>
      </c>
      <c r="AR9" s="460">
        <f>Data!DE8/AR$4*100000*AR$3</f>
        <v>0</v>
      </c>
      <c r="AS9" s="460">
        <f>Data!DF8/AS$4*100000*AS$3</f>
        <v>0</v>
      </c>
      <c r="AT9" s="460">
        <f>Data!DG8/AT$4*100000*AT$3</f>
        <v>0</v>
      </c>
      <c r="AU9" s="460">
        <f>Data!DH8/AU$4*100000*AU$3</f>
        <v>0</v>
      </c>
      <c r="AV9" s="460">
        <f>Data!DI8/AV$4*100000*AV$3</f>
        <v>5861.6074481491978</v>
      </c>
      <c r="AW9" s="460">
        <f>Data!DJ8/AW$4*100000*AW$3</f>
        <v>0</v>
      </c>
      <c r="AX9" s="460">
        <f>Data!DK8/AX$4*100000*AX$3</f>
        <v>8371.2831502812751</v>
      </c>
      <c r="AY9" s="460">
        <f>Data!DL8/AY$4*100000*AY$3</f>
        <v>20534.232276390765</v>
      </c>
      <c r="AZ9" s="460">
        <f>Data!DM8/AZ$4*100000*AZ$3</f>
        <v>12272.071832527126</v>
      </c>
      <c r="BA9" s="460">
        <f>Data!DN8/BA$4*100000*BA$3</f>
        <v>10225.18121293372</v>
      </c>
      <c r="BB9" s="460">
        <f>Data!DO8/BB$4*100000*BB$3</f>
        <v>9499.7209456972196</v>
      </c>
      <c r="BC9" s="460">
        <f>Data!DP8/BC$4*100000*BC$3</f>
        <v>1234.3545560026664</v>
      </c>
      <c r="BD9" s="460">
        <f>Data!DQ8/BD$4*100000*BD$3</f>
        <v>4095.2724175212138</v>
      </c>
      <c r="BE9" s="460">
        <f>Data!DR8/BE$4*100000*BE$3</f>
        <v>6085.4395715850542</v>
      </c>
      <c r="BF9" s="392"/>
      <c r="BG9" s="392"/>
      <c r="BH9" s="392"/>
      <c r="BI9" s="392"/>
      <c r="BJ9" s="392"/>
    </row>
    <row r="10" spans="1:62" ht="12" customHeight="1">
      <c r="A10" s="67"/>
      <c r="B10" s="129" t="str">
        <f>UPPER(LEFT(TRIM(Data!B9),1)) &amp; MID(TRIM(Data!B9),2,50)</f>
        <v>Skrandžio</v>
      </c>
      <c r="C10" s="129" t="str">
        <f>UPPER(LEFT(TRIM(Data!C9),1)) &amp; MID(TRIM(Data!C9),2,50)</f>
        <v>C16</v>
      </c>
      <c r="D10" s="142">
        <f>Data!BR9</f>
        <v>268</v>
      </c>
      <c r="E10" s="143">
        <f t="shared" si="5"/>
        <v>17.102984215477179</v>
      </c>
      <c r="F10" s="133">
        <f t="shared" si="6"/>
        <v>9.475565180647699</v>
      </c>
      <c r="G10" s="133">
        <f t="shared" si="7"/>
        <v>6.4794466329678233</v>
      </c>
      <c r="H10" s="74"/>
      <c r="I10" s="74"/>
      <c r="J10" s="74"/>
      <c r="K10" s="74"/>
      <c r="L10" s="74"/>
      <c r="M10" s="74"/>
      <c r="N10" s="74"/>
      <c r="O10" s="74"/>
      <c r="P10" s="73"/>
      <c r="Q10" s="317"/>
      <c r="R10" s="464" t="s">
        <v>353</v>
      </c>
      <c r="S10" s="460">
        <f t="shared" si="3"/>
        <v>947556.51806476992</v>
      </c>
      <c r="T10" s="460">
        <f>Data!DA9/T$4*100000*T$3</f>
        <v>0</v>
      </c>
      <c r="U10" s="460">
        <f>Data!DB9/U$4*100000*U$3</f>
        <v>0</v>
      </c>
      <c r="V10" s="460">
        <f>Data!DC9/V$4*100000*V$3</f>
        <v>0</v>
      </c>
      <c r="W10" s="460">
        <f>Data!DD9/W$4*100000*W$3</f>
        <v>0</v>
      </c>
      <c r="X10" s="460">
        <f>Data!DE9/X$4*100000*X$3</f>
        <v>0</v>
      </c>
      <c r="Y10" s="460">
        <f>Data!DF9/Y$4*100000*Y$3</f>
        <v>0</v>
      </c>
      <c r="Z10" s="460">
        <f>Data!DG9/Z$4*100000*Z$3</f>
        <v>23922.899911143519</v>
      </c>
      <c r="AA10" s="460">
        <f>Data!DH9/AA$4*100000*AA$3</f>
        <v>39240.747592299842</v>
      </c>
      <c r="AB10" s="460">
        <f>Data!DI9/AB$4*100000*AB$3</f>
        <v>34192.710114203655</v>
      </c>
      <c r="AC10" s="460">
        <f>Data!DJ9/AC$4*100000*AC$3</f>
        <v>51455.927079600478</v>
      </c>
      <c r="AD10" s="460">
        <f>Data!DK9/AD$4*100000*AD$3</f>
        <v>87898.473077953386</v>
      </c>
      <c r="AE10" s="460">
        <f>Data!DL9/AE$4*100000*AE$3</f>
        <v>92404.045243758446</v>
      </c>
      <c r="AF10" s="460">
        <f>Data!DM9/AF$4*100000*AF$3</f>
        <v>138060.80811593018</v>
      </c>
      <c r="AG10" s="460">
        <f>Data!DN9/AG$4*100000*AG$3</f>
        <v>136335.74950578291</v>
      </c>
      <c r="AH10" s="460">
        <f>Data!DO9/AH$4*100000*AH$3</f>
        <v>67685.511738092697</v>
      </c>
      <c r="AI10" s="460">
        <f>Data!DP9/AI$4*100000*AI$3</f>
        <v>93810.946256202646</v>
      </c>
      <c r="AJ10" s="460">
        <f>Data!DQ9/AJ$4*100000*AJ$3</f>
        <v>85181.666284441235</v>
      </c>
      <c r="AK10" s="460">
        <f>Data!DR9/AK$4*100000*AK$3</f>
        <v>97367.033145360867</v>
      </c>
      <c r="AL10" s="464" t="s">
        <v>353</v>
      </c>
      <c r="AM10" s="460">
        <f t="shared" si="4"/>
        <v>647944.6632967823</v>
      </c>
      <c r="AN10" s="460">
        <f>Data!DA9/AN$4*100000*AN$3</f>
        <v>0</v>
      </c>
      <c r="AO10" s="460">
        <f>Data!DB9/AO$4*100000*AO$3</f>
        <v>0</v>
      </c>
      <c r="AP10" s="460">
        <f>Data!DC9/AP$4*100000*AP$3</f>
        <v>0</v>
      </c>
      <c r="AQ10" s="460">
        <f>Data!DD9/AQ$4*100000*AQ$3</f>
        <v>0</v>
      </c>
      <c r="AR10" s="460">
        <f>Data!DE9/AR$4*100000*AR$3</f>
        <v>0</v>
      </c>
      <c r="AS10" s="460">
        <f>Data!DF9/AS$4*100000*AS$3</f>
        <v>0</v>
      </c>
      <c r="AT10" s="460">
        <f>Data!DG9/AT$4*100000*AT$3</f>
        <v>20505.342780980158</v>
      </c>
      <c r="AU10" s="460">
        <f>Data!DH9/AU$4*100000*AU$3</f>
        <v>33634.926507685581</v>
      </c>
      <c r="AV10" s="460">
        <f>Data!DI9/AV$4*100000*AV$3</f>
        <v>29308.037240745987</v>
      </c>
      <c r="AW10" s="460">
        <f>Data!DJ9/AW$4*100000*AW$3</f>
        <v>44105.080353943267</v>
      </c>
      <c r="AX10" s="460">
        <f>Data!DK9/AX$4*100000*AX$3</f>
        <v>62784.623627109569</v>
      </c>
      <c r="AY10" s="460">
        <f>Data!DL9/AY$4*100000*AY$3</f>
        <v>61602.696829172295</v>
      </c>
      <c r="AZ10" s="460">
        <f>Data!DM9/AZ$4*100000*AZ$3</f>
        <v>110448.64649274414</v>
      </c>
      <c r="BA10" s="460">
        <f>Data!DN9/BA$4*100000*BA$3</f>
        <v>102251.81212933718</v>
      </c>
      <c r="BB10" s="460">
        <f>Data!DO9/BB$4*100000*BB$3</f>
        <v>45123.674492061793</v>
      </c>
      <c r="BC10" s="460">
        <f>Data!DP9/BC$4*100000*BC$3</f>
        <v>46905.473128101323</v>
      </c>
      <c r="BD10" s="460">
        <f>Data!DQ9/BD$4*100000*BD$3</f>
        <v>42590.833142220617</v>
      </c>
      <c r="BE10" s="460">
        <f>Data!DR9/BE$4*100000*BE$3</f>
        <v>48683.516572680433</v>
      </c>
      <c r="BF10" s="392"/>
      <c r="BG10" s="392"/>
      <c r="BH10" s="392"/>
      <c r="BI10" s="392"/>
      <c r="BJ10" s="392"/>
    </row>
    <row r="11" spans="1:62" ht="12" customHeight="1">
      <c r="A11" s="67"/>
      <c r="B11" s="151" t="str">
        <f>UPPER(LEFT(TRIM(Data!B10),1)) &amp; MID(TRIM(Data!B10),2,50)</f>
        <v>Gaubtinės žarnos</v>
      </c>
      <c r="C11" s="145" t="str">
        <f>UPPER(LEFT(TRIM(Data!C10),1)) &amp; MID(TRIM(Data!C10),2,50)</f>
        <v>C18</v>
      </c>
      <c r="D11" s="152">
        <f>Data!BR10</f>
        <v>285</v>
      </c>
      <c r="E11" s="153">
        <f t="shared" si="5"/>
        <v>18.187875005264914</v>
      </c>
      <c r="F11" s="154">
        <f t="shared" si="6"/>
        <v>8.6111215909867358</v>
      </c>
      <c r="G11" s="154">
        <f t="shared" si="7"/>
        <v>5.4984280737195439</v>
      </c>
      <c r="H11" s="74"/>
      <c r="I11" s="74"/>
      <c r="J11" s="74"/>
      <c r="K11" s="74"/>
      <c r="L11" s="74"/>
      <c r="M11" s="74"/>
      <c r="N11" s="74"/>
      <c r="O11" s="74"/>
      <c r="P11" s="73"/>
      <c r="Q11" s="317"/>
      <c r="R11" s="464" t="s">
        <v>353</v>
      </c>
      <c r="S11" s="460">
        <f t="shared" si="3"/>
        <v>861112.1590986735</v>
      </c>
      <c r="T11" s="460">
        <f>Data!DA10/T$4*100000*T$3</f>
        <v>0</v>
      </c>
      <c r="U11" s="460">
        <f>Data!DB10/U$4*100000*U$3</f>
        <v>0</v>
      </c>
      <c r="V11" s="460">
        <f>Data!DC10/V$4*100000*V$3</f>
        <v>0</v>
      </c>
      <c r="W11" s="460">
        <f>Data!DD10/W$4*100000*W$3</f>
        <v>0</v>
      </c>
      <c r="X11" s="460">
        <f>Data!DE10/X$4*100000*X$3</f>
        <v>0</v>
      </c>
      <c r="Y11" s="460">
        <f>Data!DF10/Y$4*100000*Y$3</f>
        <v>0</v>
      </c>
      <c r="Z11" s="460">
        <f>Data!DG10/Z$4*100000*Z$3</f>
        <v>0</v>
      </c>
      <c r="AA11" s="460">
        <f>Data!DH10/AA$4*100000*AA$3</f>
        <v>0</v>
      </c>
      <c r="AB11" s="460">
        <f>Data!DI10/AB$4*100000*AB$3</f>
        <v>13677.084045681462</v>
      </c>
      <c r="AC11" s="460">
        <f>Data!DJ10/AC$4*100000*AC$3</f>
        <v>25727.963539800239</v>
      </c>
      <c r="AD11" s="460">
        <f>Data!DK10/AD$4*100000*AD$3</f>
        <v>46879.185641575146</v>
      </c>
      <c r="AE11" s="460">
        <f>Data!DL10/AE$4*100000*AE$3</f>
        <v>46202.022621879223</v>
      </c>
      <c r="AF11" s="460">
        <f>Data!DM10/AF$4*100000*AF$3</f>
        <v>71587.08568974158</v>
      </c>
      <c r="AG11" s="460">
        <f>Data!DN10/AG$4*100000*AG$3</f>
        <v>149969.32445636118</v>
      </c>
      <c r="AH11" s="460">
        <f>Data!DO10/AH$4*100000*AH$3</f>
        <v>170994.97702254995</v>
      </c>
      <c r="AI11" s="460">
        <f>Data!DP10/AI$4*100000*AI$3</f>
        <v>118498.03737625595</v>
      </c>
      <c r="AJ11" s="460">
        <f>Data!DQ10/AJ$4*100000*AJ$3</f>
        <v>99924.646987517612</v>
      </c>
      <c r="AK11" s="460">
        <f>Data!DR10/AK$4*100000*AK$3</f>
        <v>117651.83171731106</v>
      </c>
      <c r="AL11" s="464" t="s">
        <v>353</v>
      </c>
      <c r="AM11" s="460">
        <f t="shared" si="4"/>
        <v>549842.80737195443</v>
      </c>
      <c r="AN11" s="460">
        <f>Data!DA10/AN$4*100000*AN$3</f>
        <v>0</v>
      </c>
      <c r="AO11" s="460">
        <f>Data!DB10/AO$4*100000*AO$3</f>
        <v>0</v>
      </c>
      <c r="AP11" s="460">
        <f>Data!DC10/AP$4*100000*AP$3</f>
        <v>0</v>
      </c>
      <c r="AQ11" s="460">
        <f>Data!DD10/AQ$4*100000*AQ$3</f>
        <v>0</v>
      </c>
      <c r="AR11" s="460">
        <f>Data!DE10/AR$4*100000*AR$3</f>
        <v>0</v>
      </c>
      <c r="AS11" s="460">
        <f>Data!DF10/AS$4*100000*AS$3</f>
        <v>0</v>
      </c>
      <c r="AT11" s="460">
        <f>Data!DG10/AT$4*100000*AT$3</f>
        <v>0</v>
      </c>
      <c r="AU11" s="460">
        <f>Data!DH10/AU$4*100000*AU$3</f>
        <v>0</v>
      </c>
      <c r="AV11" s="460">
        <f>Data!DI10/AV$4*100000*AV$3</f>
        <v>11723.214896298396</v>
      </c>
      <c r="AW11" s="460">
        <f>Data!DJ10/AW$4*100000*AW$3</f>
        <v>22052.540176971634</v>
      </c>
      <c r="AX11" s="460">
        <f>Data!DK10/AX$4*100000*AX$3</f>
        <v>33485.1326011251</v>
      </c>
      <c r="AY11" s="460">
        <f>Data!DL10/AY$4*100000*AY$3</f>
        <v>30801.348414586148</v>
      </c>
      <c r="AZ11" s="460">
        <f>Data!DM10/AZ$4*100000*AZ$3</f>
        <v>57269.668551793256</v>
      </c>
      <c r="BA11" s="460">
        <f>Data!DN10/BA$4*100000*BA$3</f>
        <v>112476.9933422709</v>
      </c>
      <c r="BB11" s="460">
        <f>Data!DO10/BB$4*100000*BB$3</f>
        <v>113996.65134836663</v>
      </c>
      <c r="BC11" s="460">
        <f>Data!DP10/BC$4*100000*BC$3</f>
        <v>59249.018688127973</v>
      </c>
      <c r="BD11" s="460">
        <f>Data!DQ10/BD$4*100000*BD$3</f>
        <v>49962.323493758806</v>
      </c>
      <c r="BE11" s="460">
        <f>Data!DR10/BE$4*100000*BE$3</f>
        <v>58825.915858655528</v>
      </c>
      <c r="BF11" s="392"/>
      <c r="BG11" s="392"/>
      <c r="BH11" s="392"/>
      <c r="BI11" s="392"/>
      <c r="BJ11" s="392"/>
    </row>
    <row r="12" spans="1:62" ht="12" customHeight="1">
      <c r="A12" s="67"/>
      <c r="B12" s="129" t="str">
        <f>UPPER(LEFT(TRIM(Data!B11),1)) &amp; MID(TRIM(Data!B11),2,50)</f>
        <v>Tiesiosios žarnos, išangės</v>
      </c>
      <c r="C12" s="129" t="str">
        <f>UPPER(LEFT(TRIM(Data!C11),1)) &amp; MID(TRIM(Data!C11),2,50)</f>
        <v>C19-C21</v>
      </c>
      <c r="D12" s="142">
        <f>Data!BR11</f>
        <v>188</v>
      </c>
      <c r="E12" s="143">
        <f t="shared" si="5"/>
        <v>11.997615792946677</v>
      </c>
      <c r="F12" s="133">
        <f t="shared" si="6"/>
        <v>6.3122095378901077</v>
      </c>
      <c r="G12" s="133">
        <f t="shared" si="7"/>
        <v>4.1831374506837102</v>
      </c>
      <c r="H12" s="74"/>
      <c r="I12" s="74"/>
      <c r="J12" s="74"/>
      <c r="K12" s="74"/>
      <c r="L12" s="74"/>
      <c r="M12" s="74"/>
      <c r="N12" s="74"/>
      <c r="O12" s="74"/>
      <c r="P12" s="73"/>
      <c r="Q12" s="317"/>
      <c r="R12" s="464" t="s">
        <v>353</v>
      </c>
      <c r="S12" s="460">
        <f t="shared" si="3"/>
        <v>631220.95378901076</v>
      </c>
      <c r="T12" s="460">
        <f>Data!DA11/T$4*100000*T$3</f>
        <v>0</v>
      </c>
      <c r="U12" s="460">
        <f>Data!DB11/U$4*100000*U$3</f>
        <v>0</v>
      </c>
      <c r="V12" s="460">
        <f>Data!DC11/V$4*100000*V$3</f>
        <v>0</v>
      </c>
      <c r="W12" s="460">
        <f>Data!DD11/W$4*100000*W$3</f>
        <v>0</v>
      </c>
      <c r="X12" s="460">
        <f>Data!DE11/X$4*100000*X$3</f>
        <v>0</v>
      </c>
      <c r="Y12" s="460">
        <f>Data!DF11/Y$4*100000*Y$3</f>
        <v>0</v>
      </c>
      <c r="Z12" s="460">
        <f>Data!DG11/Z$4*100000*Z$3</f>
        <v>0</v>
      </c>
      <c r="AA12" s="460">
        <f>Data!DH11/AA$4*100000*AA$3</f>
        <v>7848.149518459968</v>
      </c>
      <c r="AB12" s="460">
        <f>Data!DI11/AB$4*100000*AB$3</f>
        <v>0</v>
      </c>
      <c r="AC12" s="460">
        <f>Data!DJ11/AC$4*100000*AC$3</f>
        <v>25727.963539800239</v>
      </c>
      <c r="AD12" s="460">
        <f>Data!DK11/AD$4*100000*AD$3</f>
        <v>58598.982051968916</v>
      </c>
      <c r="AE12" s="460">
        <f>Data!DL11/AE$4*100000*AE$3</f>
        <v>56469.138760074609</v>
      </c>
      <c r="AF12" s="460">
        <f>Data!DM11/AF$4*100000*AF$3</f>
        <v>117607.35506171831</v>
      </c>
      <c r="AG12" s="460">
        <f>Data!DN11/AG$4*100000*AG$3</f>
        <v>86345.974686995847</v>
      </c>
      <c r="AH12" s="460">
        <f>Data!DO11/AH$4*100000*AH$3</f>
        <v>71247.907092729147</v>
      </c>
      <c r="AI12" s="460">
        <f>Data!DP11/AI$4*100000*AI$3</f>
        <v>88873.528032191956</v>
      </c>
      <c r="AJ12" s="460">
        <f>Data!DQ11/AJ$4*100000*AJ$3</f>
        <v>47505.160043246076</v>
      </c>
      <c r="AK12" s="460">
        <f>Data!DR11/AK$4*100000*AK$3</f>
        <v>70996.795001825638</v>
      </c>
      <c r="AL12" s="464" t="s">
        <v>353</v>
      </c>
      <c r="AM12" s="460">
        <f t="shared" si="4"/>
        <v>418313.745068371</v>
      </c>
      <c r="AN12" s="460">
        <f>Data!DA11/AN$4*100000*AN$3</f>
        <v>0</v>
      </c>
      <c r="AO12" s="460">
        <f>Data!DB11/AO$4*100000*AO$3</f>
        <v>0</v>
      </c>
      <c r="AP12" s="460">
        <f>Data!DC11/AP$4*100000*AP$3</f>
        <v>0</v>
      </c>
      <c r="AQ12" s="460">
        <f>Data!DD11/AQ$4*100000*AQ$3</f>
        <v>0</v>
      </c>
      <c r="AR12" s="460">
        <f>Data!DE11/AR$4*100000*AR$3</f>
        <v>0</v>
      </c>
      <c r="AS12" s="460">
        <f>Data!DF11/AS$4*100000*AS$3</f>
        <v>0</v>
      </c>
      <c r="AT12" s="460">
        <f>Data!DG11/AT$4*100000*AT$3</f>
        <v>0</v>
      </c>
      <c r="AU12" s="460">
        <f>Data!DH11/AU$4*100000*AU$3</f>
        <v>6726.9853015371154</v>
      </c>
      <c r="AV12" s="460">
        <f>Data!DI11/AV$4*100000*AV$3</f>
        <v>0</v>
      </c>
      <c r="AW12" s="460">
        <f>Data!DJ11/AW$4*100000*AW$3</f>
        <v>22052.540176971634</v>
      </c>
      <c r="AX12" s="460">
        <f>Data!DK11/AX$4*100000*AX$3</f>
        <v>41856.41575140637</v>
      </c>
      <c r="AY12" s="460">
        <f>Data!DL11/AY$4*100000*AY$3</f>
        <v>37646.092506716406</v>
      </c>
      <c r="AZ12" s="460">
        <f>Data!DM11/AZ$4*100000*AZ$3</f>
        <v>94085.884049374639</v>
      </c>
      <c r="BA12" s="460">
        <f>Data!DN11/BA$4*100000*BA$3</f>
        <v>64759.481015246885</v>
      </c>
      <c r="BB12" s="460">
        <f>Data!DO11/BB$4*100000*BB$3</f>
        <v>47498.604728486098</v>
      </c>
      <c r="BC12" s="460">
        <f>Data!DP11/BC$4*100000*BC$3</f>
        <v>44436.764016095978</v>
      </c>
      <c r="BD12" s="460">
        <f>Data!DQ11/BD$4*100000*BD$3</f>
        <v>23752.580021623038</v>
      </c>
      <c r="BE12" s="460">
        <f>Data!DR11/BE$4*100000*BE$3</f>
        <v>35498.397500912819</v>
      </c>
      <c r="BF12" s="392"/>
      <c r="BG12" s="392"/>
      <c r="BH12" s="392"/>
      <c r="BI12" s="392"/>
      <c r="BJ12" s="392"/>
    </row>
    <row r="13" spans="1:62" ht="12" customHeight="1">
      <c r="A13" s="67"/>
      <c r="B13" s="151" t="str">
        <f>UPPER(LEFT(TRIM(Data!B12),1)) &amp; MID(TRIM(Data!B12),2,50)</f>
        <v>Kepenų</v>
      </c>
      <c r="C13" s="145" t="str">
        <f>UPPER(LEFT(TRIM(Data!C12),1)) &amp; MID(TRIM(Data!C12),2,50)</f>
        <v>C22</v>
      </c>
      <c r="D13" s="152">
        <f>Data!BR12</f>
        <v>85</v>
      </c>
      <c r="E13" s="153">
        <f t="shared" si="5"/>
        <v>5.4244539489386581</v>
      </c>
      <c r="F13" s="154">
        <f t="shared" si="6"/>
        <v>2.7945024724609637</v>
      </c>
      <c r="G13" s="154">
        <f t="shared" si="7"/>
        <v>1.8182852352166696</v>
      </c>
      <c r="H13" s="74"/>
      <c r="I13" s="74"/>
      <c r="J13" s="74"/>
      <c r="K13" s="74"/>
      <c r="L13" s="74"/>
      <c r="M13" s="74"/>
      <c r="N13" s="74"/>
      <c r="O13" s="74"/>
      <c r="P13" s="73"/>
      <c r="Q13" s="317"/>
      <c r="R13" s="464" t="s">
        <v>353</v>
      </c>
      <c r="S13" s="460">
        <f t="shared" si="3"/>
        <v>279450.24724609638</v>
      </c>
      <c r="T13" s="460">
        <f>Data!DA12/T$4*100000*T$3</f>
        <v>0</v>
      </c>
      <c r="U13" s="460">
        <f>Data!DB12/U$4*100000*U$3</f>
        <v>0</v>
      </c>
      <c r="V13" s="460">
        <f>Data!DC12/V$4*100000*V$3</f>
        <v>0</v>
      </c>
      <c r="W13" s="460">
        <f>Data!DD12/W$4*100000*W$3</f>
        <v>0</v>
      </c>
      <c r="X13" s="460">
        <f>Data!DE12/X$4*100000*X$3</f>
        <v>0</v>
      </c>
      <c r="Y13" s="460">
        <f>Data!DF12/Y$4*100000*Y$3</f>
        <v>0</v>
      </c>
      <c r="Z13" s="460">
        <f>Data!DG12/Z$4*100000*Z$3</f>
        <v>0</v>
      </c>
      <c r="AA13" s="460">
        <f>Data!DH12/AA$4*100000*AA$3</f>
        <v>0</v>
      </c>
      <c r="AB13" s="460">
        <f>Data!DI12/AB$4*100000*AB$3</f>
        <v>6838.5420228407311</v>
      </c>
      <c r="AC13" s="460">
        <f>Data!DJ12/AC$4*100000*AC$3</f>
        <v>6431.9908849500598</v>
      </c>
      <c r="AD13" s="460">
        <f>Data!DK12/AD$4*100000*AD$3</f>
        <v>23439.592820787573</v>
      </c>
      <c r="AE13" s="460">
        <f>Data!DL12/AE$4*100000*AE$3</f>
        <v>35934.906483683844</v>
      </c>
      <c r="AF13" s="460">
        <f>Data!DM12/AF$4*100000*AF$3</f>
        <v>20453.453054211877</v>
      </c>
      <c r="AG13" s="460">
        <f>Data!DN12/AG$4*100000*AG$3</f>
        <v>49989.77481878706</v>
      </c>
      <c r="AH13" s="460">
        <f>Data!DO12/AH$4*100000*AH$3</f>
        <v>46311.139610273953</v>
      </c>
      <c r="AI13" s="460">
        <f>Data!DP12/AI$4*100000*AI$3</f>
        <v>39499.345792085325</v>
      </c>
      <c r="AJ13" s="460">
        <f>Data!DQ12/AJ$4*100000*AJ$3</f>
        <v>26209.743472135771</v>
      </c>
      <c r="AK13" s="460">
        <f>Data!DR12/AK$4*100000*AK$3</f>
        <v>24341.758286340217</v>
      </c>
      <c r="AL13" s="464" t="s">
        <v>353</v>
      </c>
      <c r="AM13" s="460">
        <f t="shared" si="4"/>
        <v>181828.52352166697</v>
      </c>
      <c r="AN13" s="460">
        <f>Data!DA12/AN$4*100000*AN$3</f>
        <v>0</v>
      </c>
      <c r="AO13" s="460">
        <f>Data!DB12/AO$4*100000*AO$3</f>
        <v>0</v>
      </c>
      <c r="AP13" s="460">
        <f>Data!DC12/AP$4*100000*AP$3</f>
        <v>0</v>
      </c>
      <c r="AQ13" s="460">
        <f>Data!DD12/AQ$4*100000*AQ$3</f>
        <v>0</v>
      </c>
      <c r="AR13" s="460">
        <f>Data!DE12/AR$4*100000*AR$3</f>
        <v>0</v>
      </c>
      <c r="AS13" s="460">
        <f>Data!DF12/AS$4*100000*AS$3</f>
        <v>0</v>
      </c>
      <c r="AT13" s="460">
        <f>Data!DG12/AT$4*100000*AT$3</f>
        <v>0</v>
      </c>
      <c r="AU13" s="460">
        <f>Data!DH12/AU$4*100000*AU$3</f>
        <v>0</v>
      </c>
      <c r="AV13" s="460">
        <f>Data!DI12/AV$4*100000*AV$3</f>
        <v>5861.6074481491978</v>
      </c>
      <c r="AW13" s="460">
        <f>Data!DJ12/AW$4*100000*AW$3</f>
        <v>5513.1350442429084</v>
      </c>
      <c r="AX13" s="460">
        <f>Data!DK12/AX$4*100000*AX$3</f>
        <v>16742.56630056255</v>
      </c>
      <c r="AY13" s="460">
        <f>Data!DL12/AY$4*100000*AY$3</f>
        <v>23956.604322455896</v>
      </c>
      <c r="AZ13" s="460">
        <f>Data!DM12/AZ$4*100000*AZ$3</f>
        <v>16362.762443369502</v>
      </c>
      <c r="BA13" s="460">
        <f>Data!DN12/BA$4*100000*BA$3</f>
        <v>37492.331114090295</v>
      </c>
      <c r="BB13" s="460">
        <f>Data!DO12/BB$4*100000*BB$3</f>
        <v>30874.093073515967</v>
      </c>
      <c r="BC13" s="460">
        <f>Data!DP12/BC$4*100000*BC$3</f>
        <v>19749.672896042663</v>
      </c>
      <c r="BD13" s="460">
        <f>Data!DQ12/BD$4*100000*BD$3</f>
        <v>13104.871736067886</v>
      </c>
      <c r="BE13" s="460">
        <f>Data!DR12/BE$4*100000*BE$3</f>
        <v>12170.879143170108</v>
      </c>
      <c r="BF13" s="392"/>
      <c r="BG13" s="392"/>
      <c r="BH13" s="392"/>
      <c r="BI13" s="392"/>
      <c r="BJ13" s="392"/>
    </row>
    <row r="14" spans="1:62" ht="12" customHeight="1">
      <c r="A14" s="67"/>
      <c r="B14" s="129" t="str">
        <f>UPPER(LEFT(TRIM(Data!B13),1)) &amp; MID(TRIM(Data!B13),2,50)</f>
        <v>Tulžies pūslės, ekstrahepatinių takų</v>
      </c>
      <c r="C14" s="129" t="str">
        <f>UPPER(LEFT(TRIM(Data!C13),1)) &amp; MID(TRIM(Data!C13),2,50)</f>
        <v>C23, C24</v>
      </c>
      <c r="D14" s="142">
        <f>Data!BR13</f>
        <v>61</v>
      </c>
      <c r="E14" s="143">
        <f t="shared" si="5"/>
        <v>3.8928434221795074</v>
      </c>
      <c r="F14" s="133">
        <f t="shared" si="6"/>
        <v>2.0975500802342695</v>
      </c>
      <c r="G14" s="133">
        <f t="shared" si="7"/>
        <v>1.4284625557607951</v>
      </c>
      <c r="H14" s="74"/>
      <c r="I14" s="74"/>
      <c r="J14" s="74"/>
      <c r="K14" s="74"/>
      <c r="L14" s="74"/>
      <c r="M14" s="74"/>
      <c r="N14" s="74"/>
      <c r="O14" s="74"/>
      <c r="P14" s="73"/>
      <c r="Q14" s="317"/>
      <c r="R14" s="333" t="s">
        <v>353</v>
      </c>
      <c r="S14" s="325">
        <f t="shared" si="3"/>
        <v>209755.00802342693</v>
      </c>
      <c r="T14" s="325">
        <f>Data!DA13/T$4*100000*T$3</f>
        <v>0</v>
      </c>
      <c r="U14" s="325">
        <f>Data!DB13/U$4*100000*U$3</f>
        <v>0</v>
      </c>
      <c r="V14" s="325">
        <f>Data!DC13/V$4*100000*V$3</f>
        <v>0</v>
      </c>
      <c r="W14" s="325">
        <f>Data!DD13/W$4*100000*W$3</f>
        <v>0</v>
      </c>
      <c r="X14" s="325">
        <f>Data!DE13/X$4*100000*X$3</f>
        <v>0</v>
      </c>
      <c r="Y14" s="325">
        <f>Data!DF13/Y$4*100000*Y$3</f>
        <v>0</v>
      </c>
      <c r="Z14" s="325">
        <f>Data!DG13/Z$4*100000*Z$3</f>
        <v>0</v>
      </c>
      <c r="AA14" s="325">
        <f>Data!DH13/AA$4*100000*AA$3</f>
        <v>0</v>
      </c>
      <c r="AB14" s="325">
        <f>Data!DI13/AB$4*100000*AB$3</f>
        <v>0</v>
      </c>
      <c r="AC14" s="325">
        <f>Data!DJ13/AC$4*100000*AC$3</f>
        <v>6431.9908849500598</v>
      </c>
      <c r="AD14" s="325">
        <f>Data!DK13/AD$4*100000*AD$3</f>
        <v>5859.8982051968933</v>
      </c>
      <c r="AE14" s="325">
        <f>Data!DL13/AE$4*100000*AE$3</f>
        <v>15400.674207293074</v>
      </c>
      <c r="AF14" s="325">
        <f>Data!DM13/AF$4*100000*AF$3</f>
        <v>56246.995899082656</v>
      </c>
      <c r="AG14" s="325">
        <f>Data!DN13/AG$4*100000*AG$3</f>
        <v>40900.724851734871</v>
      </c>
      <c r="AH14" s="325">
        <f>Data!DO13/AH$4*100000*AH$3</f>
        <v>28499.162837091659</v>
      </c>
      <c r="AI14" s="325">
        <f>Data!DP13/AI$4*100000*AI$3</f>
        <v>19749.672896042663</v>
      </c>
      <c r="AJ14" s="325">
        <f>Data!DQ13/AJ$4*100000*AJ$3</f>
        <v>16381.089670084855</v>
      </c>
      <c r="AK14" s="325">
        <f>Data!DR13/AK$4*100000*AK$3</f>
        <v>20284.798571950181</v>
      </c>
      <c r="AL14" s="333" t="s">
        <v>353</v>
      </c>
      <c r="AM14" s="325">
        <f t="shared" si="4"/>
        <v>142846.25557607951</v>
      </c>
      <c r="AN14" s="325">
        <f>Data!DA13/AN$4*100000*AN$3</f>
        <v>0</v>
      </c>
      <c r="AO14" s="325">
        <f>Data!DB13/AO$4*100000*AO$3</f>
        <v>0</v>
      </c>
      <c r="AP14" s="325">
        <f>Data!DC13/AP$4*100000*AP$3</f>
        <v>0</v>
      </c>
      <c r="AQ14" s="325">
        <f>Data!DD13/AQ$4*100000*AQ$3</f>
        <v>0</v>
      </c>
      <c r="AR14" s="325">
        <f>Data!DE13/AR$4*100000*AR$3</f>
        <v>0</v>
      </c>
      <c r="AS14" s="325">
        <f>Data!DF13/AS$4*100000*AS$3</f>
        <v>0</v>
      </c>
      <c r="AT14" s="325">
        <f>Data!DG13/AT$4*100000*AT$3</f>
        <v>0</v>
      </c>
      <c r="AU14" s="325">
        <f>Data!DH13/AU$4*100000*AU$3</f>
        <v>0</v>
      </c>
      <c r="AV14" s="325">
        <f>Data!DI13/AV$4*100000*AV$3</f>
        <v>0</v>
      </c>
      <c r="AW14" s="325">
        <f>Data!DJ13/AW$4*100000*AW$3</f>
        <v>5513.1350442429084</v>
      </c>
      <c r="AX14" s="325">
        <f>Data!DK13/AX$4*100000*AX$3</f>
        <v>4185.6415751406375</v>
      </c>
      <c r="AY14" s="325">
        <f>Data!DL13/AY$4*100000*AY$3</f>
        <v>10267.116138195383</v>
      </c>
      <c r="AZ14" s="325">
        <f>Data!DM13/AZ$4*100000*AZ$3</f>
        <v>44997.596719266126</v>
      </c>
      <c r="BA14" s="325">
        <f>Data!DN13/BA$4*100000*BA$3</f>
        <v>30675.543638801155</v>
      </c>
      <c r="BB14" s="325">
        <f>Data!DO13/BB$4*100000*BB$3</f>
        <v>18999.441891394439</v>
      </c>
      <c r="BC14" s="325">
        <f>Data!DP13/BC$4*100000*BC$3</f>
        <v>9874.8364480213313</v>
      </c>
      <c r="BD14" s="325">
        <f>Data!DQ13/BD$4*100000*BD$3</f>
        <v>8190.5448350424276</v>
      </c>
      <c r="BE14" s="325">
        <f>Data!DR13/BE$4*100000*BE$3</f>
        <v>10142.399285975091</v>
      </c>
    </row>
    <row r="15" spans="1:62" ht="12" customHeight="1">
      <c r="A15" s="67"/>
      <c r="B15" s="151" t="str">
        <f>UPPER(LEFT(TRIM(Data!B14),1)) &amp; MID(TRIM(Data!B14),2,50)</f>
        <v>Kasos</v>
      </c>
      <c r="C15" s="145" t="str">
        <f>UPPER(LEFT(TRIM(Data!C14),1)) &amp; MID(TRIM(Data!C14),2,50)</f>
        <v>C25</v>
      </c>
      <c r="D15" s="152">
        <f>Data!BR14</f>
        <v>243</v>
      </c>
      <c r="E15" s="153">
        <f t="shared" si="5"/>
        <v>15.507556583436397</v>
      </c>
      <c r="F15" s="154">
        <f t="shared" si="6"/>
        <v>7.8389593272283635</v>
      </c>
      <c r="G15" s="154">
        <f t="shared" si="7"/>
        <v>5.1123148570838639</v>
      </c>
      <c r="H15" s="74"/>
      <c r="I15" s="74"/>
      <c r="J15" s="74"/>
      <c r="K15" s="74"/>
      <c r="L15" s="74"/>
      <c r="M15" s="74"/>
      <c r="N15" s="74"/>
      <c r="O15" s="74"/>
      <c r="P15" s="73"/>
      <c r="Q15" s="317"/>
      <c r="R15" s="333" t="s">
        <v>353</v>
      </c>
      <c r="S15" s="325">
        <f t="shared" si="3"/>
        <v>783895.93272283638</v>
      </c>
      <c r="T15" s="325">
        <f>Data!DA14/T$4*100000*T$3</f>
        <v>0</v>
      </c>
      <c r="U15" s="325">
        <f>Data!DB14/U$4*100000*U$3</f>
        <v>0</v>
      </c>
      <c r="V15" s="325">
        <f>Data!DC14/V$4*100000*V$3</f>
        <v>0</v>
      </c>
      <c r="W15" s="325">
        <f>Data!DD14/W$4*100000*W$3</f>
        <v>0</v>
      </c>
      <c r="X15" s="325">
        <f>Data!DE14/X$4*100000*X$3</f>
        <v>0</v>
      </c>
      <c r="Y15" s="325">
        <f>Data!DF14/Y$4*100000*Y$3</f>
        <v>7357.2689817539731</v>
      </c>
      <c r="Z15" s="325">
        <f>Data!DG14/Z$4*100000*Z$3</f>
        <v>0</v>
      </c>
      <c r="AA15" s="325">
        <f>Data!DH14/AA$4*100000*AA$3</f>
        <v>0</v>
      </c>
      <c r="AB15" s="325">
        <f>Data!DI14/AB$4*100000*AB$3</f>
        <v>0</v>
      </c>
      <c r="AC15" s="325">
        <f>Data!DJ14/AC$4*100000*AC$3</f>
        <v>32159.9544247503</v>
      </c>
      <c r="AD15" s="325">
        <f>Data!DK14/AD$4*100000*AD$3</f>
        <v>52739.083846772039</v>
      </c>
      <c r="AE15" s="325">
        <f>Data!DL14/AE$4*100000*AE$3</f>
        <v>66736.254898269995</v>
      </c>
      <c r="AF15" s="325">
        <f>Data!DM14/AF$4*100000*AF$3</f>
        <v>92040.538743953453</v>
      </c>
      <c r="AG15" s="325">
        <f>Data!DN14/AG$4*100000*AG$3</f>
        <v>140880.27448930903</v>
      </c>
      <c r="AH15" s="325">
        <f>Data!DO14/AH$4*100000*AH$3</f>
        <v>106871.86063909372</v>
      </c>
      <c r="AI15" s="325">
        <f>Data!DP14/AI$4*100000*AI$3</f>
        <v>148122.54672031995</v>
      </c>
      <c r="AJ15" s="325">
        <f>Data!DQ14/AJ$4*100000*AJ$3</f>
        <v>72076.794548373364</v>
      </c>
      <c r="AK15" s="325">
        <f>Data!DR14/AK$4*100000*AK$3</f>
        <v>64911.355430240576</v>
      </c>
      <c r="AL15" s="333" t="s">
        <v>353</v>
      </c>
      <c r="AM15" s="325">
        <f t="shared" si="4"/>
        <v>511231.4857083864</v>
      </c>
      <c r="AN15" s="325">
        <f>Data!DA14/AN$4*100000*AN$3</f>
        <v>0</v>
      </c>
      <c r="AO15" s="325">
        <f>Data!DB14/AO$4*100000*AO$3</f>
        <v>0</v>
      </c>
      <c r="AP15" s="325">
        <f>Data!DC14/AP$4*100000*AP$3</f>
        <v>0</v>
      </c>
      <c r="AQ15" s="325">
        <f>Data!DD14/AQ$4*100000*AQ$3</f>
        <v>0</v>
      </c>
      <c r="AR15" s="325">
        <f>Data!DE14/AR$4*100000*AR$3</f>
        <v>0</v>
      </c>
      <c r="AS15" s="325">
        <f>Data!DF14/AS$4*100000*AS$3</f>
        <v>8408.3074077188267</v>
      </c>
      <c r="AT15" s="325">
        <f>Data!DG14/AT$4*100000*AT$3</f>
        <v>0</v>
      </c>
      <c r="AU15" s="325">
        <f>Data!DH14/AU$4*100000*AU$3</f>
        <v>0</v>
      </c>
      <c r="AV15" s="325">
        <f>Data!DI14/AV$4*100000*AV$3</f>
        <v>0</v>
      </c>
      <c r="AW15" s="325">
        <f>Data!DJ14/AW$4*100000*AW$3</f>
        <v>27565.675221214544</v>
      </c>
      <c r="AX15" s="325">
        <f>Data!DK14/AX$4*100000*AX$3</f>
        <v>37670.774176265739</v>
      </c>
      <c r="AY15" s="325">
        <f>Data!DL14/AY$4*100000*AY$3</f>
        <v>44490.836598846661</v>
      </c>
      <c r="AZ15" s="325">
        <f>Data!DM14/AZ$4*100000*AZ$3</f>
        <v>73632.430995162766</v>
      </c>
      <c r="BA15" s="325">
        <f>Data!DN14/BA$4*100000*BA$3</f>
        <v>105660.20586698176</v>
      </c>
      <c r="BB15" s="325">
        <f>Data!DO14/BB$4*100000*BB$3</f>
        <v>71247.907092729147</v>
      </c>
      <c r="BC15" s="325">
        <f>Data!DP14/BC$4*100000*BC$3</f>
        <v>74061.273360159976</v>
      </c>
      <c r="BD15" s="325">
        <f>Data!DQ14/BD$4*100000*BD$3</f>
        <v>36038.397274186682</v>
      </c>
      <c r="BE15" s="325">
        <f>Data!DR14/BE$4*100000*BE$3</f>
        <v>32455.677715120288</v>
      </c>
    </row>
    <row r="16" spans="1:62" ht="12" customHeight="1">
      <c r="A16" s="67"/>
      <c r="B16" s="129" t="str">
        <f>UPPER(LEFT(TRIM(Data!B15),1)) &amp; MID(TRIM(Data!B15),2,50)</f>
        <v>Kitų virškinimo sistemos organų</v>
      </c>
      <c r="C16" s="129" t="str">
        <f>UPPER(LEFT(TRIM(Data!C15),1)) &amp; MID(TRIM(Data!C15),2,50)</f>
        <v>C17, C26, C48</v>
      </c>
      <c r="D16" s="142">
        <f>Data!BR15</f>
        <v>36</v>
      </c>
      <c r="E16" s="143">
        <f t="shared" si="5"/>
        <v>2.2974157901387255</v>
      </c>
      <c r="F16" s="133">
        <f t="shared" si="6"/>
        <v>1.2164326545907196</v>
      </c>
      <c r="G16" s="133">
        <f t="shared" si="7"/>
        <v>0.81424129855514082</v>
      </c>
      <c r="H16" s="74"/>
      <c r="I16" s="74"/>
      <c r="J16" s="74"/>
      <c r="K16" s="74"/>
      <c r="L16" s="74"/>
      <c r="M16" s="74"/>
      <c r="N16" s="74"/>
      <c r="O16" s="74"/>
      <c r="P16" s="73"/>
      <c r="Q16" s="317"/>
      <c r="R16" s="333" t="s">
        <v>353</v>
      </c>
      <c r="S16" s="325">
        <f t="shared" si="3"/>
        <v>121643.26545907196</v>
      </c>
      <c r="T16" s="325">
        <f>Data!DA15/T$4*100000*T$3</f>
        <v>0</v>
      </c>
      <c r="U16" s="325">
        <f>Data!DB15/U$4*100000*U$3</f>
        <v>0</v>
      </c>
      <c r="V16" s="325">
        <f>Data!DC15/V$4*100000*V$3</f>
        <v>0</v>
      </c>
      <c r="W16" s="325">
        <f>Data!DD15/W$4*100000*W$3</f>
        <v>0</v>
      </c>
      <c r="X16" s="325">
        <f>Data!DE15/X$4*100000*X$3</f>
        <v>0</v>
      </c>
      <c r="Y16" s="325">
        <f>Data!DF15/Y$4*100000*Y$3</f>
        <v>0</v>
      </c>
      <c r="Z16" s="325">
        <f>Data!DG15/Z$4*100000*Z$3</f>
        <v>0</v>
      </c>
      <c r="AA16" s="325">
        <f>Data!DH15/AA$4*100000*AA$3</f>
        <v>0</v>
      </c>
      <c r="AB16" s="325">
        <f>Data!DI15/AB$4*100000*AB$3</f>
        <v>0</v>
      </c>
      <c r="AC16" s="325">
        <f>Data!DJ15/AC$4*100000*AC$3</f>
        <v>6431.9908849500598</v>
      </c>
      <c r="AD16" s="325">
        <f>Data!DK15/AD$4*100000*AD$3</f>
        <v>11719.796410393787</v>
      </c>
      <c r="AE16" s="325">
        <f>Data!DL15/AE$4*100000*AE$3</f>
        <v>10267.116138195383</v>
      </c>
      <c r="AF16" s="325">
        <f>Data!DM15/AF$4*100000*AF$3</f>
        <v>5113.3632635529693</v>
      </c>
      <c r="AG16" s="325">
        <f>Data!DN15/AG$4*100000*AG$3</f>
        <v>45445.249835260976</v>
      </c>
      <c r="AH16" s="325">
        <f>Data!DO15/AH$4*100000*AH$3</f>
        <v>7124.7907092729147</v>
      </c>
      <c r="AI16" s="325">
        <f>Data!DP15/AI$4*100000*AI$3</f>
        <v>9874.8364480213313</v>
      </c>
      <c r="AJ16" s="325">
        <f>Data!DQ15/AJ$4*100000*AJ$3</f>
        <v>11466.762769059398</v>
      </c>
      <c r="AK16" s="325">
        <f>Data!DR15/AK$4*100000*AK$3</f>
        <v>14199.359000365128</v>
      </c>
      <c r="AL16" s="333" t="s">
        <v>353</v>
      </c>
      <c r="AM16" s="325">
        <f t="shared" si="4"/>
        <v>81424.129855514082</v>
      </c>
      <c r="AN16" s="325">
        <f>Data!DA15/AN$4*100000*AN$3</f>
        <v>0</v>
      </c>
      <c r="AO16" s="325">
        <f>Data!DB15/AO$4*100000*AO$3</f>
        <v>0</v>
      </c>
      <c r="AP16" s="325">
        <f>Data!DC15/AP$4*100000*AP$3</f>
        <v>0</v>
      </c>
      <c r="AQ16" s="325">
        <f>Data!DD15/AQ$4*100000*AQ$3</f>
        <v>0</v>
      </c>
      <c r="AR16" s="325">
        <f>Data!DE15/AR$4*100000*AR$3</f>
        <v>0</v>
      </c>
      <c r="AS16" s="325">
        <f>Data!DF15/AS$4*100000*AS$3</f>
        <v>0</v>
      </c>
      <c r="AT16" s="325">
        <f>Data!DG15/AT$4*100000*AT$3</f>
        <v>0</v>
      </c>
      <c r="AU16" s="325">
        <f>Data!DH15/AU$4*100000*AU$3</f>
        <v>0</v>
      </c>
      <c r="AV16" s="325">
        <f>Data!DI15/AV$4*100000*AV$3</f>
        <v>0</v>
      </c>
      <c r="AW16" s="325">
        <f>Data!DJ15/AW$4*100000*AW$3</f>
        <v>5513.1350442429084</v>
      </c>
      <c r="AX16" s="325">
        <f>Data!DK15/AX$4*100000*AX$3</f>
        <v>8371.2831502812751</v>
      </c>
      <c r="AY16" s="325">
        <f>Data!DL15/AY$4*100000*AY$3</f>
        <v>6844.744092130255</v>
      </c>
      <c r="AZ16" s="325">
        <f>Data!DM15/AZ$4*100000*AZ$3</f>
        <v>4090.6906108423755</v>
      </c>
      <c r="BA16" s="325">
        <f>Data!DN15/BA$4*100000*BA$3</f>
        <v>34083.937376445727</v>
      </c>
      <c r="BB16" s="325">
        <f>Data!DO15/BB$4*100000*BB$3</f>
        <v>4749.8604728486098</v>
      </c>
      <c r="BC16" s="325">
        <f>Data!DP15/BC$4*100000*BC$3</f>
        <v>4937.4182240106657</v>
      </c>
      <c r="BD16" s="325">
        <f>Data!DQ15/BD$4*100000*BD$3</f>
        <v>5733.3813845296991</v>
      </c>
      <c r="BE16" s="325">
        <f>Data!DR15/BE$4*100000*BE$3</f>
        <v>7099.679500182564</v>
      </c>
    </row>
    <row r="17" spans="1:57" ht="12" customHeight="1">
      <c r="A17" s="67"/>
      <c r="B17" s="151" t="str">
        <f>UPPER(LEFT(TRIM(Data!B16),1)) &amp; MID(TRIM(Data!B16),2,50)</f>
        <v>Nosies ertmės, vid.ausies ir ančių</v>
      </c>
      <c r="C17" s="145" t="str">
        <f>UPPER(LEFT(TRIM(Data!C16),1)) &amp; MID(TRIM(Data!C16),2,50)</f>
        <v>C30, C31</v>
      </c>
      <c r="D17" s="152">
        <f>Data!BR16</f>
        <v>9</v>
      </c>
      <c r="E17" s="153">
        <f t="shared" si="5"/>
        <v>0.57435394753468139</v>
      </c>
      <c r="F17" s="154">
        <f t="shared" si="6"/>
        <v>0.31101878225696694</v>
      </c>
      <c r="G17" s="154">
        <f t="shared" si="7"/>
        <v>0.20578732366081065</v>
      </c>
      <c r="H17" s="74"/>
      <c r="I17" s="74"/>
      <c r="J17" s="74"/>
      <c r="K17" s="74"/>
      <c r="L17" s="74"/>
      <c r="M17" s="74"/>
      <c r="N17" s="74"/>
      <c r="O17" s="74"/>
      <c r="P17" s="73"/>
      <c r="Q17" s="317"/>
      <c r="R17" s="333" t="s">
        <v>353</v>
      </c>
      <c r="S17" s="325">
        <f t="shared" si="3"/>
        <v>31101.878225696695</v>
      </c>
      <c r="T17" s="325">
        <f>Data!DA16/T$4*100000*T$3</f>
        <v>0</v>
      </c>
      <c r="U17" s="325">
        <f>Data!DB16/U$4*100000*U$3</f>
        <v>0</v>
      </c>
      <c r="V17" s="325">
        <f>Data!DC16/V$4*100000*V$3</f>
        <v>0</v>
      </c>
      <c r="W17" s="325">
        <f>Data!DD16/W$4*100000*W$3</f>
        <v>0</v>
      </c>
      <c r="X17" s="325">
        <f>Data!DE16/X$4*100000*X$3</f>
        <v>0</v>
      </c>
      <c r="Y17" s="325">
        <f>Data!DF16/Y$4*100000*Y$3</f>
        <v>0</v>
      </c>
      <c r="Z17" s="325">
        <f>Data!DG16/Z$4*100000*Z$3</f>
        <v>0</v>
      </c>
      <c r="AA17" s="325">
        <f>Data!DH16/AA$4*100000*AA$3</f>
        <v>0</v>
      </c>
      <c r="AB17" s="325">
        <f>Data!DI16/AB$4*100000*AB$3</f>
        <v>6838.5420228407311</v>
      </c>
      <c r="AC17" s="325">
        <f>Data!DJ16/AC$4*100000*AC$3</f>
        <v>0</v>
      </c>
      <c r="AD17" s="325">
        <f>Data!DK16/AD$4*100000*AD$3</f>
        <v>0</v>
      </c>
      <c r="AE17" s="325">
        <f>Data!DL16/AE$4*100000*AE$3</f>
        <v>5133.5580690976913</v>
      </c>
      <c r="AF17" s="325">
        <f>Data!DM16/AF$4*100000*AF$3</f>
        <v>0</v>
      </c>
      <c r="AG17" s="325">
        <f>Data!DN16/AG$4*100000*AG$3</f>
        <v>4544.5249835260975</v>
      </c>
      <c r="AH17" s="325">
        <f>Data!DO16/AH$4*100000*AH$3</f>
        <v>3562.3953546364573</v>
      </c>
      <c r="AI17" s="325">
        <f>Data!DP16/AI$4*100000*AI$3</f>
        <v>4937.4182240106657</v>
      </c>
      <c r="AJ17" s="325">
        <f>Data!DQ16/AJ$4*100000*AJ$3</f>
        <v>0</v>
      </c>
      <c r="AK17" s="325">
        <f>Data!DR16/AK$4*100000*AK$3</f>
        <v>6085.4395715850542</v>
      </c>
      <c r="AL17" s="333" t="s">
        <v>353</v>
      </c>
      <c r="AM17" s="325">
        <f t="shared" si="4"/>
        <v>20578.732366081065</v>
      </c>
      <c r="AN17" s="325">
        <f>Data!DA16/AN$4*100000*AN$3</f>
        <v>0</v>
      </c>
      <c r="AO17" s="325">
        <f>Data!DB16/AO$4*100000*AO$3</f>
        <v>0</v>
      </c>
      <c r="AP17" s="325">
        <f>Data!DC16/AP$4*100000*AP$3</f>
        <v>0</v>
      </c>
      <c r="AQ17" s="325">
        <f>Data!DD16/AQ$4*100000*AQ$3</f>
        <v>0</v>
      </c>
      <c r="AR17" s="325">
        <f>Data!DE16/AR$4*100000*AR$3</f>
        <v>0</v>
      </c>
      <c r="AS17" s="325">
        <f>Data!DF16/AS$4*100000*AS$3</f>
        <v>0</v>
      </c>
      <c r="AT17" s="325">
        <f>Data!DG16/AT$4*100000*AT$3</f>
        <v>0</v>
      </c>
      <c r="AU17" s="325">
        <f>Data!DH16/AU$4*100000*AU$3</f>
        <v>0</v>
      </c>
      <c r="AV17" s="325">
        <f>Data!DI16/AV$4*100000*AV$3</f>
        <v>5861.6074481491978</v>
      </c>
      <c r="AW17" s="325">
        <f>Data!DJ16/AW$4*100000*AW$3</f>
        <v>0</v>
      </c>
      <c r="AX17" s="325">
        <f>Data!DK16/AX$4*100000*AX$3</f>
        <v>0</v>
      </c>
      <c r="AY17" s="325">
        <f>Data!DL16/AY$4*100000*AY$3</f>
        <v>3422.3720460651275</v>
      </c>
      <c r="AZ17" s="325">
        <f>Data!DM16/AZ$4*100000*AZ$3</f>
        <v>0</v>
      </c>
      <c r="BA17" s="325">
        <f>Data!DN16/BA$4*100000*BA$3</f>
        <v>3408.3937376445729</v>
      </c>
      <c r="BB17" s="325">
        <f>Data!DO16/BB$4*100000*BB$3</f>
        <v>2374.9302364243049</v>
      </c>
      <c r="BC17" s="325">
        <f>Data!DP16/BC$4*100000*BC$3</f>
        <v>2468.7091120053328</v>
      </c>
      <c r="BD17" s="325">
        <f>Data!DQ16/BD$4*100000*BD$3</f>
        <v>0</v>
      </c>
      <c r="BE17" s="325">
        <f>Data!DR16/BE$4*100000*BE$3</f>
        <v>3042.7197857925271</v>
      </c>
    </row>
    <row r="18" spans="1:57" ht="12" customHeight="1">
      <c r="A18" s="67"/>
      <c r="B18" s="129" t="str">
        <f>UPPER(LEFT(TRIM(Data!B17),1)) &amp; MID(TRIM(Data!B17),2,50)</f>
        <v>Gerklų</v>
      </c>
      <c r="C18" s="129" t="str">
        <f>UPPER(LEFT(TRIM(Data!C17),1)) &amp; MID(TRIM(Data!C17),2,50)</f>
        <v>C32</v>
      </c>
      <c r="D18" s="142">
        <f>Data!BR17</f>
        <v>10</v>
      </c>
      <c r="E18" s="143">
        <f t="shared" si="5"/>
        <v>0.6381710528163127</v>
      </c>
      <c r="F18" s="133">
        <f t="shared" si="6"/>
        <v>0.50234237153727179</v>
      </c>
      <c r="G18" s="133">
        <f t="shared" si="7"/>
        <v>0.3695001075879687</v>
      </c>
      <c r="H18" s="74"/>
      <c r="I18" s="74"/>
      <c r="J18" s="74"/>
      <c r="K18" s="74"/>
      <c r="L18" s="74"/>
      <c r="M18" s="74"/>
      <c r="N18" s="74"/>
      <c r="O18" s="74"/>
      <c r="P18" s="73"/>
      <c r="Q18" s="317"/>
      <c r="R18" s="333" t="s">
        <v>353</v>
      </c>
      <c r="S18" s="325">
        <f t="shared" si="3"/>
        <v>50234.237153727176</v>
      </c>
      <c r="T18" s="325">
        <f>Data!DA17/T$4*100000*T$3</f>
        <v>0</v>
      </c>
      <c r="U18" s="325">
        <f>Data!DB17/U$4*100000*U$3</f>
        <v>0</v>
      </c>
      <c r="V18" s="325">
        <f>Data!DC17/V$4*100000*V$3</f>
        <v>0</v>
      </c>
      <c r="W18" s="325">
        <f>Data!DD17/W$4*100000*W$3</f>
        <v>0</v>
      </c>
      <c r="X18" s="325">
        <f>Data!DE17/X$4*100000*X$3</f>
        <v>0</v>
      </c>
      <c r="Y18" s="325">
        <f>Data!DF17/Y$4*100000*Y$3</f>
        <v>0</v>
      </c>
      <c r="Z18" s="325">
        <f>Data!DG17/Z$4*100000*Z$3</f>
        <v>0</v>
      </c>
      <c r="AA18" s="325">
        <f>Data!DH17/AA$4*100000*AA$3</f>
        <v>0</v>
      </c>
      <c r="AB18" s="325">
        <f>Data!DI17/AB$4*100000*AB$3</f>
        <v>0</v>
      </c>
      <c r="AC18" s="325">
        <f>Data!DJ17/AC$4*100000*AC$3</f>
        <v>0</v>
      </c>
      <c r="AD18" s="325">
        <f>Data!DK17/AD$4*100000*AD$3</f>
        <v>5859.8982051968933</v>
      </c>
      <c r="AE18" s="325">
        <f>Data!DL17/AE$4*100000*AE$3</f>
        <v>15400.674207293074</v>
      </c>
      <c r="AF18" s="325">
        <f>Data!DM17/AF$4*100000*AF$3</f>
        <v>15340.089790658909</v>
      </c>
      <c r="AG18" s="325">
        <f>Data!DN17/AG$4*100000*AG$3</f>
        <v>13633.574950578293</v>
      </c>
      <c r="AH18" s="325">
        <f>Data!DO17/AH$4*100000*AH$3</f>
        <v>0</v>
      </c>
      <c r="AI18" s="325">
        <f>Data!DP17/AI$4*100000*AI$3</f>
        <v>0</v>
      </c>
      <c r="AJ18" s="325">
        <f>Data!DQ17/AJ$4*100000*AJ$3</f>
        <v>0</v>
      </c>
      <c r="AK18" s="325">
        <f>Data!DR17/AK$4*100000*AK$3</f>
        <v>0</v>
      </c>
      <c r="AL18" s="333" t="s">
        <v>353</v>
      </c>
      <c r="AM18" s="325">
        <f t="shared" si="4"/>
        <v>36950.010758796867</v>
      </c>
      <c r="AN18" s="325">
        <f>Data!DA17/AN$4*100000*AN$3</f>
        <v>0</v>
      </c>
      <c r="AO18" s="325">
        <f>Data!DB17/AO$4*100000*AO$3</f>
        <v>0</v>
      </c>
      <c r="AP18" s="325">
        <f>Data!DC17/AP$4*100000*AP$3</f>
        <v>0</v>
      </c>
      <c r="AQ18" s="325">
        <f>Data!DD17/AQ$4*100000*AQ$3</f>
        <v>0</v>
      </c>
      <c r="AR18" s="325">
        <f>Data!DE17/AR$4*100000*AR$3</f>
        <v>0</v>
      </c>
      <c r="AS18" s="325">
        <f>Data!DF17/AS$4*100000*AS$3</f>
        <v>0</v>
      </c>
      <c r="AT18" s="325">
        <f>Data!DG17/AT$4*100000*AT$3</f>
        <v>0</v>
      </c>
      <c r="AU18" s="325">
        <f>Data!DH17/AU$4*100000*AU$3</f>
        <v>0</v>
      </c>
      <c r="AV18" s="325">
        <f>Data!DI17/AV$4*100000*AV$3</f>
        <v>0</v>
      </c>
      <c r="AW18" s="325">
        <f>Data!DJ17/AW$4*100000*AW$3</f>
        <v>0</v>
      </c>
      <c r="AX18" s="325">
        <f>Data!DK17/AX$4*100000*AX$3</f>
        <v>4185.6415751406375</v>
      </c>
      <c r="AY18" s="325">
        <f>Data!DL17/AY$4*100000*AY$3</f>
        <v>10267.116138195383</v>
      </c>
      <c r="AZ18" s="325">
        <f>Data!DM17/AZ$4*100000*AZ$3</f>
        <v>12272.071832527126</v>
      </c>
      <c r="BA18" s="325">
        <f>Data!DN17/BA$4*100000*BA$3</f>
        <v>10225.18121293372</v>
      </c>
      <c r="BB18" s="325">
        <f>Data!DO17/BB$4*100000*BB$3</f>
        <v>0</v>
      </c>
      <c r="BC18" s="325">
        <f>Data!DP17/BC$4*100000*BC$3</f>
        <v>0</v>
      </c>
      <c r="BD18" s="325">
        <f>Data!DQ17/BD$4*100000*BD$3</f>
        <v>0</v>
      </c>
      <c r="BE18" s="325">
        <f>Data!DR17/BE$4*100000*BE$3</f>
        <v>0</v>
      </c>
    </row>
    <row r="19" spans="1:57" ht="12" customHeight="1">
      <c r="A19" s="67"/>
      <c r="B19" s="151" t="str">
        <f>UPPER(LEFT(TRIM(Data!B18),1)) &amp; MID(TRIM(Data!B18),2,50)</f>
        <v>Plaučių, trachėjos, bronchų</v>
      </c>
      <c r="C19" s="145" t="str">
        <f>UPPER(LEFT(TRIM(Data!C18),1)) &amp; MID(TRIM(Data!C18),2,50)</f>
        <v>C33, C34</v>
      </c>
      <c r="D19" s="152">
        <f>Data!BR18</f>
        <v>246</v>
      </c>
      <c r="E19" s="153">
        <f t="shared" si="5"/>
        <v>15.699007899281291</v>
      </c>
      <c r="F19" s="154">
        <f t="shared" si="6"/>
        <v>8.6043435400224553</v>
      </c>
      <c r="G19" s="154">
        <f t="shared" si="7"/>
        <v>5.7933127212269362</v>
      </c>
      <c r="H19" s="74"/>
      <c r="I19" s="74"/>
      <c r="J19" s="74"/>
      <c r="K19" s="74"/>
      <c r="L19" s="74"/>
      <c r="M19" s="74"/>
      <c r="N19" s="74"/>
      <c r="O19" s="74"/>
      <c r="P19" s="73"/>
      <c r="Q19" s="317"/>
      <c r="R19" s="333" t="s">
        <v>353</v>
      </c>
      <c r="S19" s="325">
        <f t="shared" si="3"/>
        <v>860434.35400224547</v>
      </c>
      <c r="T19" s="325">
        <f>Data!DA18/T$4*100000*T$3</f>
        <v>0</v>
      </c>
      <c r="U19" s="325">
        <f>Data!DB18/U$4*100000*U$3</f>
        <v>0</v>
      </c>
      <c r="V19" s="325">
        <f>Data!DC18/V$4*100000*V$3</f>
        <v>0</v>
      </c>
      <c r="W19" s="325">
        <f>Data!DD18/W$4*100000*W$3</f>
        <v>0</v>
      </c>
      <c r="X19" s="325">
        <f>Data!DE18/X$4*100000*X$3</f>
        <v>0</v>
      </c>
      <c r="Y19" s="325">
        <f>Data!DF18/Y$4*100000*Y$3</f>
        <v>0</v>
      </c>
      <c r="Z19" s="325">
        <f>Data!DG18/Z$4*100000*Z$3</f>
        <v>0</v>
      </c>
      <c r="AA19" s="325">
        <f>Data!DH18/AA$4*100000*AA$3</f>
        <v>0</v>
      </c>
      <c r="AB19" s="325">
        <f>Data!DI18/AB$4*100000*AB$3</f>
        <v>27354.168091362924</v>
      </c>
      <c r="AC19" s="325">
        <f>Data!DJ18/AC$4*100000*AC$3</f>
        <v>25727.963539800239</v>
      </c>
      <c r="AD19" s="325">
        <f>Data!DK18/AD$4*100000*AD$3</f>
        <v>70318.778462362709</v>
      </c>
      <c r="AE19" s="325">
        <f>Data!DL18/AE$4*100000*AE$3</f>
        <v>107804.71945105153</v>
      </c>
      <c r="AF19" s="325">
        <f>Data!DM18/AF$4*100000*AF$3</f>
        <v>143174.17137948316</v>
      </c>
      <c r="AG19" s="325">
        <f>Data!DN18/AG$4*100000*AG$3</f>
        <v>145424.79947283512</v>
      </c>
      <c r="AH19" s="325">
        <f>Data!DO18/AH$4*100000*AH$3</f>
        <v>106871.86063909372</v>
      </c>
      <c r="AI19" s="325">
        <f>Data!DP18/AI$4*100000*AI$3</f>
        <v>101217.07359221863</v>
      </c>
      <c r="AJ19" s="325">
        <f>Data!DQ18/AJ$4*100000*AJ$3</f>
        <v>73714.903515381855</v>
      </c>
      <c r="AK19" s="325">
        <f>Data!DR18/AK$4*100000*AK$3</f>
        <v>58825.915858655528</v>
      </c>
      <c r="AL19" s="333" t="s">
        <v>353</v>
      </c>
      <c r="AM19" s="325">
        <f t="shared" si="4"/>
        <v>579331.2721226936</v>
      </c>
      <c r="AN19" s="325">
        <f>Data!DA18/AN$4*100000*AN$3</f>
        <v>0</v>
      </c>
      <c r="AO19" s="325">
        <f>Data!DB18/AO$4*100000*AO$3</f>
        <v>0</v>
      </c>
      <c r="AP19" s="325">
        <f>Data!DC18/AP$4*100000*AP$3</f>
        <v>0</v>
      </c>
      <c r="AQ19" s="325">
        <f>Data!DD18/AQ$4*100000*AQ$3</f>
        <v>0</v>
      </c>
      <c r="AR19" s="325">
        <f>Data!DE18/AR$4*100000*AR$3</f>
        <v>0</v>
      </c>
      <c r="AS19" s="325">
        <f>Data!DF18/AS$4*100000*AS$3</f>
        <v>0</v>
      </c>
      <c r="AT19" s="325">
        <f>Data!DG18/AT$4*100000*AT$3</f>
        <v>0</v>
      </c>
      <c r="AU19" s="325">
        <f>Data!DH18/AU$4*100000*AU$3</f>
        <v>0</v>
      </c>
      <c r="AV19" s="325">
        <f>Data!DI18/AV$4*100000*AV$3</f>
        <v>23446.429792596791</v>
      </c>
      <c r="AW19" s="325">
        <f>Data!DJ18/AW$4*100000*AW$3</f>
        <v>22052.540176971634</v>
      </c>
      <c r="AX19" s="325">
        <f>Data!DK18/AX$4*100000*AX$3</f>
        <v>50227.698901687647</v>
      </c>
      <c r="AY19" s="325">
        <f>Data!DL18/AY$4*100000*AY$3</f>
        <v>71869.812967367674</v>
      </c>
      <c r="AZ19" s="325">
        <f>Data!DM18/AZ$4*100000*AZ$3</f>
        <v>114539.33710358651</v>
      </c>
      <c r="BA19" s="325">
        <f>Data!DN18/BA$4*100000*BA$3</f>
        <v>109068.59960462633</v>
      </c>
      <c r="BB19" s="325">
        <f>Data!DO18/BB$4*100000*BB$3</f>
        <v>71247.907092729147</v>
      </c>
      <c r="BC19" s="325">
        <f>Data!DP18/BC$4*100000*BC$3</f>
        <v>50608.536796109314</v>
      </c>
      <c r="BD19" s="325">
        <f>Data!DQ18/BD$4*100000*BD$3</f>
        <v>36857.451757690927</v>
      </c>
      <c r="BE19" s="325">
        <f>Data!DR18/BE$4*100000*BE$3</f>
        <v>29412.957929327764</v>
      </c>
    </row>
    <row r="20" spans="1:57" ht="12" customHeight="1">
      <c r="A20" s="67"/>
      <c r="B20" s="129" t="str">
        <f>UPPER(LEFT(TRIM(Data!B19),1)) &amp; MID(TRIM(Data!B19),2,50)</f>
        <v>Kitų kvėpavimo sistemos organų</v>
      </c>
      <c r="C20" s="129" t="str">
        <f>UPPER(LEFT(TRIM(Data!C19),1)) &amp; MID(TRIM(Data!C19),2,50)</f>
        <v>C37-C39</v>
      </c>
      <c r="D20" s="142">
        <f>Data!BR19</f>
        <v>4</v>
      </c>
      <c r="E20" s="143">
        <f t="shared" si="5"/>
        <v>0.25526842112652504</v>
      </c>
      <c r="F20" s="133">
        <f t="shared" si="6"/>
        <v>0.13088882384036854</v>
      </c>
      <c r="G20" s="133">
        <f t="shared" si="7"/>
        <v>8.3938662236666947E-2</v>
      </c>
      <c r="H20" s="72"/>
      <c r="I20" s="72"/>
      <c r="J20" s="72"/>
      <c r="K20" s="72"/>
      <c r="L20" s="72"/>
      <c r="M20" s="72"/>
      <c r="N20" s="72"/>
      <c r="O20" s="72"/>
      <c r="P20" s="73"/>
      <c r="Q20" s="317"/>
      <c r="R20" s="333" t="s">
        <v>353</v>
      </c>
      <c r="S20" s="325">
        <f t="shared" si="3"/>
        <v>13088.882384036853</v>
      </c>
      <c r="T20" s="325">
        <f>Data!DA19/T$4*100000*T$3</f>
        <v>0</v>
      </c>
      <c r="U20" s="325">
        <f>Data!DB19/U$4*100000*U$3</f>
        <v>0</v>
      </c>
      <c r="V20" s="325">
        <f>Data!DC19/V$4*100000*V$3</f>
        <v>0</v>
      </c>
      <c r="W20" s="325">
        <f>Data!DD19/W$4*100000*W$3</f>
        <v>0</v>
      </c>
      <c r="X20" s="325">
        <f>Data!DE19/X$4*100000*X$3</f>
        <v>0</v>
      </c>
      <c r="Y20" s="325">
        <f>Data!DF19/Y$4*100000*Y$3</f>
        <v>0</v>
      </c>
      <c r="Z20" s="325">
        <f>Data!DG19/Z$4*100000*Z$3</f>
        <v>0</v>
      </c>
      <c r="AA20" s="325">
        <f>Data!DH19/AA$4*100000*AA$3</f>
        <v>0</v>
      </c>
      <c r="AB20" s="325">
        <f>Data!DI19/AB$4*100000*AB$3</f>
        <v>0</v>
      </c>
      <c r="AC20" s="325">
        <f>Data!DJ19/AC$4*100000*AC$3</f>
        <v>0</v>
      </c>
      <c r="AD20" s="325">
        <f>Data!DK19/AD$4*100000*AD$3</f>
        <v>5859.8982051968933</v>
      </c>
      <c r="AE20" s="325">
        <f>Data!DL19/AE$4*100000*AE$3</f>
        <v>0</v>
      </c>
      <c r="AF20" s="325">
        <f>Data!DM19/AF$4*100000*AF$3</f>
        <v>0</v>
      </c>
      <c r="AG20" s="325">
        <f>Data!DN19/AG$4*100000*AG$3</f>
        <v>0</v>
      </c>
      <c r="AH20" s="325">
        <f>Data!DO19/AH$4*100000*AH$3</f>
        <v>3562.3953546364573</v>
      </c>
      <c r="AI20" s="325">
        <f>Data!DP19/AI$4*100000*AI$3</f>
        <v>0</v>
      </c>
      <c r="AJ20" s="325">
        <f>Data!DQ19/AJ$4*100000*AJ$3</f>
        <v>1638.1089670084857</v>
      </c>
      <c r="AK20" s="325">
        <f>Data!DR19/AK$4*100000*AK$3</f>
        <v>2028.479857195018</v>
      </c>
      <c r="AL20" s="333" t="s">
        <v>353</v>
      </c>
      <c r="AM20" s="325">
        <f t="shared" si="4"/>
        <v>8393.8662236666951</v>
      </c>
      <c r="AN20" s="325">
        <f>Data!DA19/AN$4*100000*AN$3</f>
        <v>0</v>
      </c>
      <c r="AO20" s="325">
        <f>Data!DB19/AO$4*100000*AO$3</f>
        <v>0</v>
      </c>
      <c r="AP20" s="325">
        <f>Data!DC19/AP$4*100000*AP$3</f>
        <v>0</v>
      </c>
      <c r="AQ20" s="325">
        <f>Data!DD19/AQ$4*100000*AQ$3</f>
        <v>0</v>
      </c>
      <c r="AR20" s="325">
        <f>Data!DE19/AR$4*100000*AR$3</f>
        <v>0</v>
      </c>
      <c r="AS20" s="325">
        <f>Data!DF19/AS$4*100000*AS$3</f>
        <v>0</v>
      </c>
      <c r="AT20" s="325">
        <f>Data!DG19/AT$4*100000*AT$3</f>
        <v>0</v>
      </c>
      <c r="AU20" s="325">
        <f>Data!DH19/AU$4*100000*AU$3</f>
        <v>0</v>
      </c>
      <c r="AV20" s="325">
        <f>Data!DI19/AV$4*100000*AV$3</f>
        <v>0</v>
      </c>
      <c r="AW20" s="325">
        <f>Data!DJ19/AW$4*100000*AW$3</f>
        <v>0</v>
      </c>
      <c r="AX20" s="325">
        <f>Data!DK19/AX$4*100000*AX$3</f>
        <v>4185.6415751406375</v>
      </c>
      <c r="AY20" s="325">
        <f>Data!DL19/AY$4*100000*AY$3</f>
        <v>0</v>
      </c>
      <c r="AZ20" s="325">
        <f>Data!DM19/AZ$4*100000*AZ$3</f>
        <v>0</v>
      </c>
      <c r="BA20" s="325">
        <f>Data!DN19/BA$4*100000*BA$3</f>
        <v>0</v>
      </c>
      <c r="BB20" s="325">
        <f>Data!DO19/BB$4*100000*BB$3</f>
        <v>2374.9302364243049</v>
      </c>
      <c r="BC20" s="325">
        <f>Data!DP19/BC$4*100000*BC$3</f>
        <v>0</v>
      </c>
      <c r="BD20" s="325">
        <f>Data!DQ19/BD$4*100000*BD$3</f>
        <v>819.05448350424285</v>
      </c>
      <c r="BE20" s="325">
        <f>Data!DR19/BE$4*100000*BE$3</f>
        <v>1014.239928597509</v>
      </c>
    </row>
    <row r="21" spans="1:57" ht="12" customHeight="1">
      <c r="A21" s="67"/>
      <c r="B21" s="151" t="str">
        <f>UPPER(LEFT(TRIM(Data!B20),1)) &amp; MID(TRIM(Data!B20),2,50)</f>
        <v>Kaulų ir jungiamojo audinio</v>
      </c>
      <c r="C21" s="145" t="str">
        <f>UPPER(LEFT(TRIM(Data!C20),1)) &amp; MID(TRIM(Data!C20),2,50)</f>
        <v>C40-C41, C45-C47, C49</v>
      </c>
      <c r="D21" s="152">
        <f>Data!BR20</f>
        <v>42</v>
      </c>
      <c r="E21" s="153">
        <f t="shared" si="5"/>
        <v>2.6803184218285132</v>
      </c>
      <c r="F21" s="154">
        <f t="shared" si="6"/>
        <v>1.7558888639669128</v>
      </c>
      <c r="G21" s="154">
        <f t="shared" si="7"/>
        <v>1.35338891994301</v>
      </c>
      <c r="H21" s="72"/>
      <c r="I21" s="72"/>
      <c r="J21" s="72"/>
      <c r="K21" s="72"/>
      <c r="L21" s="72"/>
      <c r="M21" s="72"/>
      <c r="N21" s="72"/>
      <c r="O21" s="72"/>
      <c r="P21" s="73"/>
      <c r="Q21" s="317"/>
      <c r="R21" s="333" t="s">
        <v>353</v>
      </c>
      <c r="S21" s="325">
        <f t="shared" si="3"/>
        <v>175588.88639669129</v>
      </c>
      <c r="T21" s="325">
        <f>Data!DA20/T$4*100000*T$3</f>
        <v>0</v>
      </c>
      <c r="U21" s="325">
        <f>Data!DB20/U$4*100000*U$3</f>
        <v>0</v>
      </c>
      <c r="V21" s="325">
        <f>Data!DC20/V$4*100000*V$3</f>
        <v>0</v>
      </c>
      <c r="W21" s="325">
        <f>Data!DD20/W$4*100000*W$3</f>
        <v>17322.016282695309</v>
      </c>
      <c r="X21" s="325">
        <f>Data!DE20/X$4*100000*X$3</f>
        <v>0</v>
      </c>
      <c r="Y21" s="325">
        <f>Data!DF20/Y$4*100000*Y$3</f>
        <v>0</v>
      </c>
      <c r="Z21" s="325">
        <f>Data!DG20/Z$4*100000*Z$3</f>
        <v>0</v>
      </c>
      <c r="AA21" s="325">
        <f>Data!DH20/AA$4*100000*AA$3</f>
        <v>7848.149518459968</v>
      </c>
      <c r="AB21" s="325">
        <f>Data!DI20/AB$4*100000*AB$3</f>
        <v>6838.5420228407311</v>
      </c>
      <c r="AC21" s="325">
        <f>Data!DJ20/AC$4*100000*AC$3</f>
        <v>19295.972654850182</v>
      </c>
      <c r="AD21" s="325">
        <f>Data!DK20/AD$4*100000*AD$3</f>
        <v>17579.694615590677</v>
      </c>
      <c r="AE21" s="325">
        <f>Data!DL20/AE$4*100000*AE$3</f>
        <v>10267.116138195383</v>
      </c>
      <c r="AF21" s="325">
        <f>Data!DM20/AF$4*100000*AF$3</f>
        <v>25566.816317764846</v>
      </c>
      <c r="AG21" s="325">
        <f>Data!DN20/AG$4*100000*AG$3</f>
        <v>22722.624917630488</v>
      </c>
      <c r="AH21" s="325">
        <f>Data!DO20/AH$4*100000*AH$3</f>
        <v>17811.976773182287</v>
      </c>
      <c r="AI21" s="325">
        <f>Data!DP20/AI$4*100000*AI$3</f>
        <v>14812.254672031993</v>
      </c>
      <c r="AJ21" s="325">
        <f>Data!DQ20/AJ$4*100000*AJ$3</f>
        <v>11466.762769059398</v>
      </c>
      <c r="AK21" s="325">
        <f>Data!DR20/AK$4*100000*AK$3</f>
        <v>4056.959714390036</v>
      </c>
      <c r="AL21" s="333" t="s">
        <v>353</v>
      </c>
      <c r="AM21" s="325">
        <f t="shared" si="4"/>
        <v>135338.891994301</v>
      </c>
      <c r="AN21" s="325">
        <f>Data!DA20/AN$4*100000*AN$3</f>
        <v>0</v>
      </c>
      <c r="AO21" s="325">
        <f>Data!DB20/AO$4*100000*AO$3</f>
        <v>0</v>
      </c>
      <c r="AP21" s="325">
        <f>Data!DC20/AP$4*100000*AP$3</f>
        <v>0</v>
      </c>
      <c r="AQ21" s="325">
        <f>Data!DD20/AQ$4*100000*AQ$3</f>
        <v>22271.163792036823</v>
      </c>
      <c r="AR21" s="325">
        <f>Data!DE20/AR$4*100000*AR$3</f>
        <v>0</v>
      </c>
      <c r="AS21" s="325">
        <f>Data!DF20/AS$4*100000*AS$3</f>
        <v>0</v>
      </c>
      <c r="AT21" s="325">
        <f>Data!DG20/AT$4*100000*AT$3</f>
        <v>0</v>
      </c>
      <c r="AU21" s="325">
        <f>Data!DH20/AU$4*100000*AU$3</f>
        <v>6726.9853015371154</v>
      </c>
      <c r="AV21" s="325">
        <f>Data!DI20/AV$4*100000*AV$3</f>
        <v>5861.6074481491978</v>
      </c>
      <c r="AW21" s="325">
        <f>Data!DJ20/AW$4*100000*AW$3</f>
        <v>16539.405132728727</v>
      </c>
      <c r="AX21" s="325">
        <f>Data!DK20/AX$4*100000*AX$3</f>
        <v>12556.924725421912</v>
      </c>
      <c r="AY21" s="325">
        <f>Data!DL20/AY$4*100000*AY$3</f>
        <v>6844.744092130255</v>
      </c>
      <c r="AZ21" s="325">
        <f>Data!DM20/AZ$4*100000*AZ$3</f>
        <v>20453.453054211877</v>
      </c>
      <c r="BA21" s="325">
        <f>Data!DN20/BA$4*100000*BA$3</f>
        <v>17041.968688222863</v>
      </c>
      <c r="BB21" s="325">
        <f>Data!DO20/BB$4*100000*BB$3</f>
        <v>11874.651182121524</v>
      </c>
      <c r="BC21" s="325">
        <f>Data!DP20/BC$4*100000*BC$3</f>
        <v>7406.1273360159967</v>
      </c>
      <c r="BD21" s="325">
        <f>Data!DQ20/BD$4*100000*BD$3</f>
        <v>5733.3813845296991</v>
      </c>
      <c r="BE21" s="325">
        <f>Data!DR20/BE$4*100000*BE$3</f>
        <v>2028.479857195018</v>
      </c>
    </row>
    <row r="22" spans="1:57" ht="12" customHeight="1">
      <c r="A22" s="67"/>
      <c r="B22" s="129" t="str">
        <f>UPPER(LEFT(TRIM(Data!B21),1)) &amp; MID(TRIM(Data!B21),2,50)</f>
        <v>Odos melanoma</v>
      </c>
      <c r="C22" s="129" t="str">
        <f>UPPER(LEFT(TRIM(Data!C21),1)) &amp; MID(TRIM(Data!C21),2,50)</f>
        <v>C43</v>
      </c>
      <c r="D22" s="142">
        <f>Data!BR21</f>
        <v>54</v>
      </c>
      <c r="E22" s="143">
        <f t="shared" si="5"/>
        <v>3.4461236852080885</v>
      </c>
      <c r="F22" s="133">
        <f t="shared" si="6"/>
        <v>1.8998396835139382</v>
      </c>
      <c r="G22" s="133">
        <f t="shared" si="7"/>
        <v>1.236716598224471</v>
      </c>
      <c r="H22" s="72"/>
      <c r="I22" s="72"/>
      <c r="J22" s="72"/>
      <c r="K22" s="72"/>
      <c r="L22" s="72"/>
      <c r="M22" s="72"/>
      <c r="N22" s="72"/>
      <c r="O22" s="72"/>
      <c r="P22" s="73"/>
      <c r="Q22" s="317"/>
      <c r="R22" s="333" t="s">
        <v>353</v>
      </c>
      <c r="S22" s="325">
        <f t="shared" si="3"/>
        <v>189983.96835139382</v>
      </c>
      <c r="T22" s="325">
        <f>Data!DA21/T$4*100000*T$3</f>
        <v>0</v>
      </c>
      <c r="U22" s="325">
        <f>Data!DB21/U$4*100000*U$3</f>
        <v>0</v>
      </c>
      <c r="V22" s="325">
        <f>Data!DC21/V$4*100000*V$3</f>
        <v>0</v>
      </c>
      <c r="W22" s="325">
        <f>Data!DD21/W$4*100000*W$3</f>
        <v>0</v>
      </c>
      <c r="X22" s="325">
        <f>Data!DE21/X$4*100000*X$3</f>
        <v>0</v>
      </c>
      <c r="Y22" s="325">
        <f>Data!DF21/Y$4*100000*Y$3</f>
        <v>0</v>
      </c>
      <c r="Z22" s="325">
        <f>Data!DG21/Z$4*100000*Z$3</f>
        <v>0</v>
      </c>
      <c r="AA22" s="325">
        <f>Data!DH21/AA$4*100000*AA$3</f>
        <v>0</v>
      </c>
      <c r="AB22" s="325">
        <f>Data!DI21/AB$4*100000*AB$3</f>
        <v>0</v>
      </c>
      <c r="AC22" s="325">
        <f>Data!DJ21/AC$4*100000*AC$3</f>
        <v>12863.98176990012</v>
      </c>
      <c r="AD22" s="325">
        <f>Data!DK21/AD$4*100000*AD$3</f>
        <v>23439.592820787573</v>
      </c>
      <c r="AE22" s="325">
        <f>Data!DL21/AE$4*100000*AE$3</f>
        <v>41068.46455278153</v>
      </c>
      <c r="AF22" s="325">
        <f>Data!DM21/AF$4*100000*AF$3</f>
        <v>15340.089790658909</v>
      </c>
      <c r="AG22" s="325">
        <f>Data!DN21/AG$4*100000*AG$3</f>
        <v>9089.0499670521949</v>
      </c>
      <c r="AH22" s="325">
        <f>Data!DO21/AH$4*100000*AH$3</f>
        <v>32061.558191728116</v>
      </c>
      <c r="AI22" s="325">
        <f>Data!DP21/AI$4*100000*AI$3</f>
        <v>32093.218456069324</v>
      </c>
      <c r="AJ22" s="325">
        <f>Data!DQ21/AJ$4*100000*AJ$3</f>
        <v>9828.6538020509124</v>
      </c>
      <c r="AK22" s="325">
        <f>Data!DR21/AK$4*100000*AK$3</f>
        <v>14199.359000365128</v>
      </c>
      <c r="AL22" s="333" t="s">
        <v>353</v>
      </c>
      <c r="AM22" s="325">
        <f t="shared" si="4"/>
        <v>123671.65982244709</v>
      </c>
      <c r="AN22" s="325">
        <f>Data!DA21/AN$4*100000*AN$3</f>
        <v>0</v>
      </c>
      <c r="AO22" s="325">
        <f>Data!DB21/AO$4*100000*AO$3</f>
        <v>0</v>
      </c>
      <c r="AP22" s="325">
        <f>Data!DC21/AP$4*100000*AP$3</f>
        <v>0</v>
      </c>
      <c r="AQ22" s="325">
        <f>Data!DD21/AQ$4*100000*AQ$3</f>
        <v>0</v>
      </c>
      <c r="AR22" s="325">
        <f>Data!DE21/AR$4*100000*AR$3</f>
        <v>0</v>
      </c>
      <c r="AS22" s="325">
        <f>Data!DF21/AS$4*100000*AS$3</f>
        <v>0</v>
      </c>
      <c r="AT22" s="325">
        <f>Data!DG21/AT$4*100000*AT$3</f>
        <v>0</v>
      </c>
      <c r="AU22" s="325">
        <f>Data!DH21/AU$4*100000*AU$3</f>
        <v>0</v>
      </c>
      <c r="AV22" s="325">
        <f>Data!DI21/AV$4*100000*AV$3</f>
        <v>0</v>
      </c>
      <c r="AW22" s="325">
        <f>Data!DJ21/AW$4*100000*AW$3</f>
        <v>11026.270088485817</v>
      </c>
      <c r="AX22" s="325">
        <f>Data!DK21/AX$4*100000*AX$3</f>
        <v>16742.56630056255</v>
      </c>
      <c r="AY22" s="325">
        <f>Data!DL21/AY$4*100000*AY$3</f>
        <v>27378.97636852102</v>
      </c>
      <c r="AZ22" s="325">
        <f>Data!DM21/AZ$4*100000*AZ$3</f>
        <v>12272.071832527126</v>
      </c>
      <c r="BA22" s="325">
        <f>Data!DN21/BA$4*100000*BA$3</f>
        <v>6816.7874752891457</v>
      </c>
      <c r="BB22" s="325">
        <f>Data!DO21/BB$4*100000*BB$3</f>
        <v>21374.372127818744</v>
      </c>
      <c r="BC22" s="325">
        <f>Data!DP21/BC$4*100000*BC$3</f>
        <v>16046.609228034662</v>
      </c>
      <c r="BD22" s="325">
        <f>Data!DQ21/BD$4*100000*BD$3</f>
        <v>4914.3269010254562</v>
      </c>
      <c r="BE22" s="325">
        <f>Data!DR21/BE$4*100000*BE$3</f>
        <v>7099.679500182564</v>
      </c>
    </row>
    <row r="23" spans="1:57" ht="12" customHeight="1">
      <c r="A23" s="67"/>
      <c r="B23" s="151" t="str">
        <f>UPPER(LEFT(TRIM(Data!B22),1)) &amp; MID(TRIM(Data!B22),2,50)</f>
        <v>Kiti odos piktybiniai navikai</v>
      </c>
      <c r="C23" s="145" t="str">
        <f>UPPER(LEFT(TRIM(Data!C22),1)) &amp; MID(TRIM(Data!C22),2,50)</f>
        <v>C44</v>
      </c>
      <c r="D23" s="152">
        <f>Data!BR22</f>
        <v>23</v>
      </c>
      <c r="E23" s="153">
        <f t="shared" si="5"/>
        <v>1.4677934214775192</v>
      </c>
      <c r="F23" s="154">
        <f t="shared" si="6"/>
        <v>0.55779253399888684</v>
      </c>
      <c r="G23" s="154">
        <f t="shared" si="7"/>
        <v>0.3358340940312543</v>
      </c>
      <c r="H23" s="72"/>
      <c r="I23" s="72"/>
      <c r="J23" s="72"/>
      <c r="K23" s="72"/>
      <c r="L23" s="72"/>
      <c r="M23" s="72"/>
      <c r="N23" s="72"/>
      <c r="O23" s="72"/>
      <c r="P23" s="73"/>
      <c r="Q23" s="317"/>
      <c r="R23" s="333" t="s">
        <v>353</v>
      </c>
      <c r="S23" s="325">
        <f t="shared" si="3"/>
        <v>55779.253399888679</v>
      </c>
      <c r="T23" s="325">
        <f>Data!DA22/T$4*100000*T$3</f>
        <v>0</v>
      </c>
      <c r="U23" s="325">
        <f>Data!DB22/U$4*100000*U$3</f>
        <v>0</v>
      </c>
      <c r="V23" s="325">
        <f>Data!DC22/V$4*100000*V$3</f>
        <v>0</v>
      </c>
      <c r="W23" s="325">
        <f>Data!DD22/W$4*100000*W$3</f>
        <v>0</v>
      </c>
      <c r="X23" s="325">
        <f>Data!DE22/X$4*100000*X$3</f>
        <v>0</v>
      </c>
      <c r="Y23" s="325">
        <f>Data!DF22/Y$4*100000*Y$3</f>
        <v>0</v>
      </c>
      <c r="Z23" s="325">
        <f>Data!DG22/Z$4*100000*Z$3</f>
        <v>0</v>
      </c>
      <c r="AA23" s="325">
        <f>Data!DH22/AA$4*100000*AA$3</f>
        <v>7848.149518459968</v>
      </c>
      <c r="AB23" s="325">
        <f>Data!DI22/AB$4*100000*AB$3</f>
        <v>0</v>
      </c>
      <c r="AC23" s="325">
        <f>Data!DJ22/AC$4*100000*AC$3</f>
        <v>6431.9908849500598</v>
      </c>
      <c r="AD23" s="325">
        <f>Data!DK22/AD$4*100000*AD$3</f>
        <v>0</v>
      </c>
      <c r="AE23" s="325">
        <f>Data!DL22/AE$4*100000*AE$3</f>
        <v>0</v>
      </c>
      <c r="AF23" s="325">
        <f>Data!DM22/AF$4*100000*AF$3</f>
        <v>0</v>
      </c>
      <c r="AG23" s="325">
        <f>Data!DN22/AG$4*100000*AG$3</f>
        <v>0</v>
      </c>
      <c r="AH23" s="325">
        <f>Data!DO22/AH$4*100000*AH$3</f>
        <v>3562.3953546364573</v>
      </c>
      <c r="AI23" s="325">
        <f>Data!DP22/AI$4*100000*AI$3</f>
        <v>4937.4182240106657</v>
      </c>
      <c r="AJ23" s="325">
        <f>Data!DQ22/AJ$4*100000*AJ$3</f>
        <v>14742.98070307637</v>
      </c>
      <c r="AK23" s="325">
        <f>Data!DR22/AK$4*100000*AK$3</f>
        <v>18256.318714755162</v>
      </c>
      <c r="AL23" s="333" t="s">
        <v>353</v>
      </c>
      <c r="AM23" s="325">
        <f t="shared" si="4"/>
        <v>33583.409403125428</v>
      </c>
      <c r="AN23" s="325">
        <f>Data!DA22/AN$4*100000*AN$3</f>
        <v>0</v>
      </c>
      <c r="AO23" s="325">
        <f>Data!DB22/AO$4*100000*AO$3</f>
        <v>0</v>
      </c>
      <c r="AP23" s="325">
        <f>Data!DC22/AP$4*100000*AP$3</f>
        <v>0</v>
      </c>
      <c r="AQ23" s="325">
        <f>Data!DD22/AQ$4*100000*AQ$3</f>
        <v>0</v>
      </c>
      <c r="AR23" s="325">
        <f>Data!DE22/AR$4*100000*AR$3</f>
        <v>0</v>
      </c>
      <c r="AS23" s="325">
        <f>Data!DF22/AS$4*100000*AS$3</f>
        <v>0</v>
      </c>
      <c r="AT23" s="325">
        <f>Data!DG22/AT$4*100000*AT$3</f>
        <v>0</v>
      </c>
      <c r="AU23" s="325">
        <f>Data!DH22/AU$4*100000*AU$3</f>
        <v>6726.9853015371154</v>
      </c>
      <c r="AV23" s="325">
        <f>Data!DI22/AV$4*100000*AV$3</f>
        <v>0</v>
      </c>
      <c r="AW23" s="325">
        <f>Data!DJ22/AW$4*100000*AW$3</f>
        <v>5513.1350442429084</v>
      </c>
      <c r="AX23" s="325">
        <f>Data!DK22/AX$4*100000*AX$3</f>
        <v>0</v>
      </c>
      <c r="AY23" s="325">
        <f>Data!DL22/AY$4*100000*AY$3</f>
        <v>0</v>
      </c>
      <c r="AZ23" s="325">
        <f>Data!DM22/AZ$4*100000*AZ$3</f>
        <v>0</v>
      </c>
      <c r="BA23" s="325">
        <f>Data!DN22/BA$4*100000*BA$3</f>
        <v>0</v>
      </c>
      <c r="BB23" s="325">
        <f>Data!DO22/BB$4*100000*BB$3</f>
        <v>2374.9302364243049</v>
      </c>
      <c r="BC23" s="325">
        <f>Data!DP22/BC$4*100000*BC$3</f>
        <v>2468.7091120053328</v>
      </c>
      <c r="BD23" s="325">
        <f>Data!DQ22/BD$4*100000*BD$3</f>
        <v>7371.4903515381848</v>
      </c>
      <c r="BE23" s="325">
        <f>Data!DR22/BE$4*100000*BE$3</f>
        <v>9128.1593573775808</v>
      </c>
    </row>
    <row r="24" spans="1:57" ht="12" customHeight="1">
      <c r="A24" s="67"/>
      <c r="B24" s="129" t="str">
        <f>UPPER(LEFT(TRIM(Data!B23),1)) &amp; MID(TRIM(Data!B23),2,50)</f>
        <v>Krūties</v>
      </c>
      <c r="C24" s="129" t="str">
        <f>UPPER(LEFT(TRIM(Data!C23),1)) &amp; MID(TRIM(Data!C23),2,50)</f>
        <v>C50</v>
      </c>
      <c r="D24" s="142">
        <f>Data!BR23</f>
        <v>570</v>
      </c>
      <c r="E24" s="143">
        <f t="shared" si="5"/>
        <v>36.375750010529828</v>
      </c>
      <c r="F24" s="133">
        <f t="shared" si="6"/>
        <v>22.532069133170769</v>
      </c>
      <c r="G24" s="133">
        <f t="shared" si="7"/>
        <v>15.928070669408022</v>
      </c>
      <c r="H24" s="72"/>
      <c r="I24" s="72"/>
      <c r="J24" s="72"/>
      <c r="K24" s="72"/>
      <c r="L24" s="72"/>
      <c r="M24" s="72"/>
      <c r="N24" s="72"/>
      <c r="O24" s="72"/>
      <c r="P24" s="73"/>
      <c r="Q24" s="317"/>
      <c r="R24" s="333" t="s">
        <v>353</v>
      </c>
      <c r="S24" s="325">
        <f t="shared" si="3"/>
        <v>2253206.9133170769</v>
      </c>
      <c r="T24" s="325">
        <f>Data!DA23/T$4*100000*T$3</f>
        <v>0</v>
      </c>
      <c r="U24" s="325">
        <f>Data!DB23/U$4*100000*U$3</f>
        <v>0</v>
      </c>
      <c r="V24" s="325">
        <f>Data!DC23/V$4*100000*V$3</f>
        <v>0</v>
      </c>
      <c r="W24" s="325">
        <f>Data!DD23/W$4*100000*W$3</f>
        <v>0</v>
      </c>
      <c r="X24" s="325">
        <f>Data!DE23/X$4*100000*X$3</f>
        <v>0</v>
      </c>
      <c r="Y24" s="325">
        <f>Data!DF23/Y$4*100000*Y$3</f>
        <v>7357.2689817539731</v>
      </c>
      <c r="Z24" s="325">
        <f>Data!DG23/Z$4*100000*Z$3</f>
        <v>47845.799822287037</v>
      </c>
      <c r="AA24" s="325">
        <f>Data!DH23/AA$4*100000*AA$3</f>
        <v>70633.345666139721</v>
      </c>
      <c r="AB24" s="325">
        <f>Data!DI23/AB$4*100000*AB$3</f>
        <v>129932.29843397388</v>
      </c>
      <c r="AC24" s="325">
        <f>Data!DJ23/AC$4*100000*AC$3</f>
        <v>167231.76300870156</v>
      </c>
      <c r="AD24" s="325">
        <f>Data!DK23/AD$4*100000*AD$3</f>
        <v>234395.92820787567</v>
      </c>
      <c r="AE24" s="325">
        <f>Data!DL23/AE$4*100000*AE$3</f>
        <v>277212.13573127531</v>
      </c>
      <c r="AF24" s="325">
        <f>Data!DM23/AF$4*100000*AF$3</f>
        <v>311915.15907673113</v>
      </c>
      <c r="AG24" s="325">
        <f>Data!DN23/AG$4*100000*AG$3</f>
        <v>304483.17389624851</v>
      </c>
      <c r="AH24" s="325">
        <f>Data!DO23/AH$4*100000*AH$3</f>
        <v>281429.23301628011</v>
      </c>
      <c r="AI24" s="325">
        <f>Data!DP23/AI$4*100000*AI$3</f>
        <v>155528.67405633593</v>
      </c>
      <c r="AJ24" s="325">
        <f>Data!DQ23/AJ$4*100000*AJ$3</f>
        <v>121220.06355862792</v>
      </c>
      <c r="AK24" s="325">
        <f>Data!DR23/AK$4*100000*AK$3</f>
        <v>144022.06986084627</v>
      </c>
      <c r="AL24" s="333" t="s">
        <v>353</v>
      </c>
      <c r="AM24" s="325">
        <f t="shared" si="4"/>
        <v>1592807.0669408021</v>
      </c>
      <c r="AN24" s="325">
        <f>Data!DA23/AN$4*100000*AN$3</f>
        <v>0</v>
      </c>
      <c r="AO24" s="325">
        <f>Data!DB23/AO$4*100000*AO$3</f>
        <v>0</v>
      </c>
      <c r="AP24" s="325">
        <f>Data!DC23/AP$4*100000*AP$3</f>
        <v>0</v>
      </c>
      <c r="AQ24" s="325">
        <f>Data!DD23/AQ$4*100000*AQ$3</f>
        <v>0</v>
      </c>
      <c r="AR24" s="325">
        <f>Data!DE23/AR$4*100000*AR$3</f>
        <v>0</v>
      </c>
      <c r="AS24" s="325">
        <f>Data!DF23/AS$4*100000*AS$3</f>
        <v>8408.3074077188267</v>
      </c>
      <c r="AT24" s="325">
        <f>Data!DG23/AT$4*100000*AT$3</f>
        <v>41010.685561960316</v>
      </c>
      <c r="AU24" s="325">
        <f>Data!DH23/AU$4*100000*AU$3</f>
        <v>60542.867713834043</v>
      </c>
      <c r="AV24" s="325">
        <f>Data!DI23/AV$4*100000*AV$3</f>
        <v>111370.54151483475</v>
      </c>
      <c r="AW24" s="325">
        <f>Data!DJ23/AW$4*100000*AW$3</f>
        <v>143341.51115031564</v>
      </c>
      <c r="AX24" s="325">
        <f>Data!DK23/AX$4*100000*AX$3</f>
        <v>167425.66300562548</v>
      </c>
      <c r="AY24" s="325">
        <f>Data!DL23/AY$4*100000*AY$3</f>
        <v>184808.09048751689</v>
      </c>
      <c r="AZ24" s="325">
        <f>Data!DM23/AZ$4*100000*AZ$3</f>
        <v>249532.12726138491</v>
      </c>
      <c r="BA24" s="325">
        <f>Data!DN23/BA$4*100000*BA$3</f>
        <v>228362.38042218637</v>
      </c>
      <c r="BB24" s="325">
        <f>Data!DO23/BB$4*100000*BB$3</f>
        <v>187619.48867752007</v>
      </c>
      <c r="BC24" s="325">
        <f>Data!DP23/BC$4*100000*BC$3</f>
        <v>77764.337028167967</v>
      </c>
      <c r="BD24" s="325">
        <f>Data!DQ23/BD$4*100000*BD$3</f>
        <v>60610.031779313962</v>
      </c>
      <c r="BE24" s="325">
        <f>Data!DR23/BE$4*100000*BE$3</f>
        <v>72011.034930423135</v>
      </c>
    </row>
    <row r="25" spans="1:57" ht="12" customHeight="1">
      <c r="A25" s="67"/>
      <c r="B25" s="151" t="str">
        <f>UPPER(LEFT(TRIM(Data!B24),1)) &amp; MID(TRIM(Data!B24),2,50)</f>
        <v>Vulvos</v>
      </c>
      <c r="C25" s="145" t="str">
        <f>UPPER(LEFT(TRIM(Data!C24),1)) &amp; MID(TRIM(Data!C24),2,50)</f>
        <v>C51</v>
      </c>
      <c r="D25" s="152">
        <f>Data!BR24</f>
        <v>19</v>
      </c>
      <c r="E25" s="153">
        <f t="shared" si="5"/>
        <v>1.212525000350994</v>
      </c>
      <c r="F25" s="154">
        <f t="shared" si="6"/>
        <v>0.58582172203385052</v>
      </c>
      <c r="G25" s="154">
        <f t="shared" si="7"/>
        <v>0.39328313499784373</v>
      </c>
      <c r="H25" s="72"/>
      <c r="I25" s="72"/>
      <c r="J25" s="72"/>
      <c r="K25" s="72"/>
      <c r="L25" s="72"/>
      <c r="M25" s="72"/>
      <c r="N25" s="72"/>
      <c r="O25" s="72"/>
      <c r="P25" s="73"/>
      <c r="Q25" s="317"/>
      <c r="R25" s="333" t="s">
        <v>353</v>
      </c>
      <c r="S25" s="325">
        <f t="shared" si="3"/>
        <v>58582.172203385053</v>
      </c>
      <c r="T25" s="325">
        <f>Data!DA24/T$4*100000*T$3</f>
        <v>0</v>
      </c>
      <c r="U25" s="325">
        <f>Data!DB24/U$4*100000*U$3</f>
        <v>0</v>
      </c>
      <c r="V25" s="325">
        <f>Data!DC24/V$4*100000*V$3</f>
        <v>0</v>
      </c>
      <c r="W25" s="325">
        <f>Data!DD24/W$4*100000*W$3</f>
        <v>0</v>
      </c>
      <c r="X25" s="325">
        <f>Data!DE24/X$4*100000*X$3</f>
        <v>0</v>
      </c>
      <c r="Y25" s="325">
        <f>Data!DF24/Y$4*100000*Y$3</f>
        <v>0</v>
      </c>
      <c r="Z25" s="325">
        <f>Data!DG24/Z$4*100000*Z$3</f>
        <v>0</v>
      </c>
      <c r="AA25" s="325">
        <f>Data!DH24/AA$4*100000*AA$3</f>
        <v>0</v>
      </c>
      <c r="AB25" s="325">
        <f>Data!DI24/AB$4*100000*AB$3</f>
        <v>0</v>
      </c>
      <c r="AC25" s="325">
        <f>Data!DJ24/AC$4*100000*AC$3</f>
        <v>12863.98176990012</v>
      </c>
      <c r="AD25" s="325">
        <f>Data!DK24/AD$4*100000*AD$3</f>
        <v>0</v>
      </c>
      <c r="AE25" s="325">
        <f>Data!DL24/AE$4*100000*AE$3</f>
        <v>0</v>
      </c>
      <c r="AF25" s="325">
        <f>Data!DM24/AF$4*100000*AF$3</f>
        <v>10226.726527105939</v>
      </c>
      <c r="AG25" s="325">
        <f>Data!DN24/AG$4*100000*AG$3</f>
        <v>0</v>
      </c>
      <c r="AH25" s="325">
        <f>Data!DO24/AH$4*100000*AH$3</f>
        <v>14249.581418545829</v>
      </c>
      <c r="AI25" s="325">
        <f>Data!DP24/AI$4*100000*AI$3</f>
        <v>4937.4182240106657</v>
      </c>
      <c r="AJ25" s="325">
        <f>Data!DQ24/AJ$4*100000*AJ$3</f>
        <v>8190.5448350424276</v>
      </c>
      <c r="AK25" s="325">
        <f>Data!DR24/AK$4*100000*AK$3</f>
        <v>8113.9194287800719</v>
      </c>
      <c r="AL25" s="333" t="s">
        <v>353</v>
      </c>
      <c r="AM25" s="325">
        <f t="shared" si="4"/>
        <v>39328.313499784374</v>
      </c>
      <c r="AN25" s="325">
        <f>Data!DA24/AN$4*100000*AN$3</f>
        <v>0</v>
      </c>
      <c r="AO25" s="325">
        <f>Data!DB24/AO$4*100000*AO$3</f>
        <v>0</v>
      </c>
      <c r="AP25" s="325">
        <f>Data!DC24/AP$4*100000*AP$3</f>
        <v>0</v>
      </c>
      <c r="AQ25" s="325">
        <f>Data!DD24/AQ$4*100000*AQ$3</f>
        <v>0</v>
      </c>
      <c r="AR25" s="325">
        <f>Data!DE24/AR$4*100000*AR$3</f>
        <v>0</v>
      </c>
      <c r="AS25" s="325">
        <f>Data!DF24/AS$4*100000*AS$3</f>
        <v>0</v>
      </c>
      <c r="AT25" s="325">
        <f>Data!DG24/AT$4*100000*AT$3</f>
        <v>0</v>
      </c>
      <c r="AU25" s="325">
        <f>Data!DH24/AU$4*100000*AU$3</f>
        <v>0</v>
      </c>
      <c r="AV25" s="325">
        <f>Data!DI24/AV$4*100000*AV$3</f>
        <v>0</v>
      </c>
      <c r="AW25" s="325">
        <f>Data!DJ24/AW$4*100000*AW$3</f>
        <v>11026.270088485817</v>
      </c>
      <c r="AX25" s="325">
        <f>Data!DK24/AX$4*100000*AX$3</f>
        <v>0</v>
      </c>
      <c r="AY25" s="325">
        <f>Data!DL24/AY$4*100000*AY$3</f>
        <v>0</v>
      </c>
      <c r="AZ25" s="325">
        <f>Data!DM24/AZ$4*100000*AZ$3</f>
        <v>8181.3812216847509</v>
      </c>
      <c r="BA25" s="325">
        <f>Data!DN24/BA$4*100000*BA$3</f>
        <v>0</v>
      </c>
      <c r="BB25" s="325">
        <f>Data!DO24/BB$4*100000*BB$3</f>
        <v>9499.7209456972196</v>
      </c>
      <c r="BC25" s="325">
        <f>Data!DP24/BC$4*100000*BC$3</f>
        <v>2468.7091120053328</v>
      </c>
      <c r="BD25" s="325">
        <f>Data!DQ24/BD$4*100000*BD$3</f>
        <v>4095.2724175212138</v>
      </c>
      <c r="BE25" s="325">
        <f>Data!DR24/BE$4*100000*BE$3</f>
        <v>4056.959714390036</v>
      </c>
    </row>
    <row r="26" spans="1:57" ht="12" customHeight="1">
      <c r="A26" s="67"/>
      <c r="B26" s="129" t="str">
        <f>UPPER(LEFT(TRIM(Data!B25),1)) &amp; MID(TRIM(Data!B25),2,50)</f>
        <v>Gimdos kaklelio</v>
      </c>
      <c r="C26" s="129" t="str">
        <f>UPPER(LEFT(TRIM(Data!C25),1)) &amp; MID(TRIM(Data!C25),2,50)</f>
        <v>C53</v>
      </c>
      <c r="D26" s="142">
        <f>Data!BR25</f>
        <v>207</v>
      </c>
      <c r="E26" s="143">
        <f t="shared" si="5"/>
        <v>13.210140793297674</v>
      </c>
      <c r="F26" s="133">
        <f t="shared" si="6"/>
        <v>9.4702490133285018</v>
      </c>
      <c r="G26" s="133">
        <f t="shared" si="7"/>
        <v>7.0008838216808034</v>
      </c>
      <c r="H26" s="72"/>
      <c r="I26" s="72"/>
      <c r="J26" s="72"/>
      <c r="K26" s="72"/>
      <c r="L26" s="72"/>
      <c r="M26" s="72"/>
      <c r="N26" s="72"/>
      <c r="O26" s="72"/>
      <c r="P26" s="72"/>
      <c r="Q26" s="317"/>
      <c r="R26" s="333" t="s">
        <v>353</v>
      </c>
      <c r="S26" s="325">
        <f t="shared" si="3"/>
        <v>947024.90133285022</v>
      </c>
      <c r="T26" s="325">
        <f>Data!DA25/T$4*100000*T$3</f>
        <v>0</v>
      </c>
      <c r="U26" s="325">
        <f>Data!DB25/U$4*100000*U$3</f>
        <v>0</v>
      </c>
      <c r="V26" s="325">
        <f>Data!DC25/V$4*100000*V$3</f>
        <v>0</v>
      </c>
      <c r="W26" s="325">
        <f>Data!DD25/W$4*100000*W$3</f>
        <v>0</v>
      </c>
      <c r="X26" s="325">
        <f>Data!DE25/X$4*100000*X$3</f>
        <v>0</v>
      </c>
      <c r="Y26" s="325">
        <f>Data!DF25/Y$4*100000*Y$3</f>
        <v>0</v>
      </c>
      <c r="Z26" s="325">
        <f>Data!DG25/Z$4*100000*Z$3</f>
        <v>7974.299970381172</v>
      </c>
      <c r="AA26" s="325">
        <f>Data!DH25/AA$4*100000*AA$3</f>
        <v>47088.897110759804</v>
      </c>
      <c r="AB26" s="325">
        <f>Data!DI25/AB$4*100000*AB$3</f>
        <v>123093.75641113316</v>
      </c>
      <c r="AC26" s="325">
        <f>Data!DJ25/AC$4*100000*AC$3</f>
        <v>102911.85415920096</v>
      </c>
      <c r="AD26" s="325">
        <f>Data!DK25/AD$4*100000*AD$3</f>
        <v>146497.45512992231</v>
      </c>
      <c r="AE26" s="325">
        <f>Data!DL25/AE$4*100000*AE$3</f>
        <v>118071.8355892469</v>
      </c>
      <c r="AF26" s="325">
        <f>Data!DM25/AF$4*100000*AF$3</f>
        <v>143174.17137948316</v>
      </c>
      <c r="AG26" s="325">
        <f>Data!DN25/AG$4*100000*AG$3</f>
        <v>95435.024654048029</v>
      </c>
      <c r="AH26" s="325">
        <f>Data!DO25/AH$4*100000*AH$3</f>
        <v>49873.534964910403</v>
      </c>
      <c r="AI26" s="325">
        <f>Data!DP25/AI$4*100000*AI$3</f>
        <v>46905.473128101323</v>
      </c>
      <c r="AJ26" s="325">
        <f>Data!DQ25/AJ$4*100000*AJ$3</f>
        <v>29485.961406152739</v>
      </c>
      <c r="AK26" s="325">
        <f>Data!DR25/AK$4*100000*AK$3</f>
        <v>36512.637429510323</v>
      </c>
      <c r="AL26" s="333" t="s">
        <v>353</v>
      </c>
      <c r="AM26" s="325">
        <f t="shared" si="4"/>
        <v>700088.38216808031</v>
      </c>
      <c r="AN26" s="325">
        <f>Data!DA25/AN$4*100000*AN$3</f>
        <v>0</v>
      </c>
      <c r="AO26" s="325">
        <f>Data!DB25/AO$4*100000*AO$3</f>
        <v>0</v>
      </c>
      <c r="AP26" s="325">
        <f>Data!DC25/AP$4*100000*AP$3</f>
        <v>0</v>
      </c>
      <c r="AQ26" s="325">
        <f>Data!DD25/AQ$4*100000*AQ$3</f>
        <v>0</v>
      </c>
      <c r="AR26" s="325">
        <f>Data!DE25/AR$4*100000*AR$3</f>
        <v>0</v>
      </c>
      <c r="AS26" s="325">
        <f>Data!DF25/AS$4*100000*AS$3</f>
        <v>0</v>
      </c>
      <c r="AT26" s="325">
        <f>Data!DG25/AT$4*100000*AT$3</f>
        <v>6835.114260326719</v>
      </c>
      <c r="AU26" s="325">
        <f>Data!DH25/AU$4*100000*AU$3</f>
        <v>40361.911809222693</v>
      </c>
      <c r="AV26" s="325">
        <f>Data!DI25/AV$4*100000*AV$3</f>
        <v>105508.93406668557</v>
      </c>
      <c r="AW26" s="325">
        <f>Data!DJ25/AW$4*100000*AW$3</f>
        <v>88210.160707886535</v>
      </c>
      <c r="AX26" s="325">
        <f>Data!DK25/AX$4*100000*AX$3</f>
        <v>104641.03937851594</v>
      </c>
      <c r="AY26" s="325">
        <f>Data!DL25/AY$4*100000*AY$3</f>
        <v>78714.557059497936</v>
      </c>
      <c r="AZ26" s="325">
        <f>Data!DM25/AZ$4*100000*AZ$3</f>
        <v>114539.33710358651</v>
      </c>
      <c r="BA26" s="325">
        <f>Data!DN25/BA$4*100000*BA$3</f>
        <v>71576.268490536022</v>
      </c>
      <c r="BB26" s="325">
        <f>Data!DO25/BB$4*100000*BB$3</f>
        <v>33249.023309940269</v>
      </c>
      <c r="BC26" s="325">
        <f>Data!DP25/BC$4*100000*BC$3</f>
        <v>23452.736564050661</v>
      </c>
      <c r="BD26" s="325">
        <f>Data!DQ25/BD$4*100000*BD$3</f>
        <v>14742.98070307637</v>
      </c>
      <c r="BE26" s="325">
        <f>Data!DR25/BE$4*100000*BE$3</f>
        <v>18256.318714755162</v>
      </c>
    </row>
    <row r="27" spans="1:57" ht="12" customHeight="1">
      <c r="A27" s="67"/>
      <c r="B27" s="151" t="str">
        <f>UPPER(LEFT(TRIM(Data!B26),1)) &amp; MID(TRIM(Data!B26),2,50)</f>
        <v>Gimdos kūno</v>
      </c>
      <c r="C27" s="145" t="str">
        <f>UPPER(LEFT(TRIM(Data!C26),1)) &amp; MID(TRIM(Data!C26),2,50)</f>
        <v>C54, C55</v>
      </c>
      <c r="D27" s="152">
        <f>Data!BR26</f>
        <v>153</v>
      </c>
      <c r="E27" s="153">
        <f t="shared" si="5"/>
        <v>9.7640171080895843</v>
      </c>
      <c r="F27" s="154">
        <f t="shared" si="6"/>
        <v>5.1811148397831523</v>
      </c>
      <c r="G27" s="154">
        <f t="shared" si="7"/>
        <v>3.4969847491365029</v>
      </c>
      <c r="H27" s="72"/>
      <c r="I27" s="72"/>
      <c r="J27" s="72"/>
      <c r="K27" s="72"/>
      <c r="L27" s="72"/>
      <c r="M27" s="72"/>
      <c r="N27" s="72"/>
      <c r="O27" s="72"/>
      <c r="P27" s="72"/>
      <c r="Q27" s="317"/>
      <c r="R27" s="333" t="s">
        <v>353</v>
      </c>
      <c r="S27" s="325">
        <f t="shared" si="3"/>
        <v>518111.4839783152</v>
      </c>
      <c r="T27" s="325">
        <f>Data!DA26/T$4*100000*T$3</f>
        <v>0</v>
      </c>
      <c r="U27" s="325">
        <f>Data!DB26/U$4*100000*U$3</f>
        <v>0</v>
      </c>
      <c r="V27" s="325">
        <f>Data!DC26/V$4*100000*V$3</f>
        <v>0</v>
      </c>
      <c r="W27" s="325">
        <f>Data!DD26/W$4*100000*W$3</f>
        <v>0</v>
      </c>
      <c r="X27" s="325">
        <f>Data!DE26/X$4*100000*X$3</f>
        <v>0</v>
      </c>
      <c r="Y27" s="325">
        <f>Data!DF26/Y$4*100000*Y$3</f>
        <v>7357.2689817539731</v>
      </c>
      <c r="Z27" s="325">
        <f>Data!DG26/Z$4*100000*Z$3</f>
        <v>0</v>
      </c>
      <c r="AA27" s="325">
        <f>Data!DH26/AA$4*100000*AA$3</f>
        <v>0</v>
      </c>
      <c r="AB27" s="325">
        <f>Data!DI26/AB$4*100000*AB$3</f>
        <v>6838.5420228407311</v>
      </c>
      <c r="AC27" s="325">
        <f>Data!DJ26/AC$4*100000*AC$3</f>
        <v>6431.9908849500598</v>
      </c>
      <c r="AD27" s="325">
        <f>Data!DK26/AD$4*100000*AD$3</f>
        <v>23439.592820787573</v>
      </c>
      <c r="AE27" s="325">
        <f>Data!DL26/AE$4*100000*AE$3</f>
        <v>51335.580690976916</v>
      </c>
      <c r="AF27" s="325">
        <f>Data!DM26/AF$4*100000*AF$3</f>
        <v>86927.175480400474</v>
      </c>
      <c r="AG27" s="325">
        <f>Data!DN26/AG$4*100000*AG$3</f>
        <v>109068.59960462635</v>
      </c>
      <c r="AH27" s="325">
        <f>Data!DO26/AH$4*100000*AH$3</f>
        <v>85497.488511274976</v>
      </c>
      <c r="AI27" s="325">
        <f>Data!DP26/AI$4*100000*AI$3</f>
        <v>54311.600464117313</v>
      </c>
      <c r="AJ27" s="325">
        <f>Data!DQ26/AJ$4*100000*AJ$3</f>
        <v>52419.486944271543</v>
      </c>
      <c r="AK27" s="325">
        <f>Data!DR26/AK$4*100000*AK$3</f>
        <v>34484.157572315307</v>
      </c>
      <c r="AL27" s="333" t="s">
        <v>353</v>
      </c>
      <c r="AM27" s="325">
        <f t="shared" si="4"/>
        <v>349698.47491365031</v>
      </c>
      <c r="AN27" s="325">
        <f>Data!DA26/AN$4*100000*AN$3</f>
        <v>0</v>
      </c>
      <c r="AO27" s="325">
        <f>Data!DB26/AO$4*100000*AO$3</f>
        <v>0</v>
      </c>
      <c r="AP27" s="325">
        <f>Data!DC26/AP$4*100000*AP$3</f>
        <v>0</v>
      </c>
      <c r="AQ27" s="325">
        <f>Data!DD26/AQ$4*100000*AQ$3</f>
        <v>0</v>
      </c>
      <c r="AR27" s="325">
        <f>Data!DE26/AR$4*100000*AR$3</f>
        <v>0</v>
      </c>
      <c r="AS27" s="325">
        <f>Data!DF26/AS$4*100000*AS$3</f>
        <v>8408.3074077188267</v>
      </c>
      <c r="AT27" s="325">
        <f>Data!DG26/AT$4*100000*AT$3</f>
        <v>0</v>
      </c>
      <c r="AU27" s="325">
        <f>Data!DH26/AU$4*100000*AU$3</f>
        <v>0</v>
      </c>
      <c r="AV27" s="325">
        <f>Data!DI26/AV$4*100000*AV$3</f>
        <v>5861.6074481491978</v>
      </c>
      <c r="AW27" s="325">
        <f>Data!DJ26/AW$4*100000*AW$3</f>
        <v>5513.1350442429084</v>
      </c>
      <c r="AX27" s="325">
        <f>Data!DK26/AX$4*100000*AX$3</f>
        <v>16742.56630056255</v>
      </c>
      <c r="AY27" s="325">
        <f>Data!DL26/AY$4*100000*AY$3</f>
        <v>34223.720460651282</v>
      </c>
      <c r="AZ27" s="325">
        <f>Data!DM26/AZ$4*100000*AZ$3</f>
        <v>69541.740384320379</v>
      </c>
      <c r="BA27" s="325">
        <f>Data!DN26/BA$4*100000*BA$3</f>
        <v>81801.449703469756</v>
      </c>
      <c r="BB27" s="325">
        <f>Data!DO26/BB$4*100000*BB$3</f>
        <v>56998.325674183317</v>
      </c>
      <c r="BC27" s="325">
        <f>Data!DP26/BC$4*100000*BC$3</f>
        <v>27155.800232058657</v>
      </c>
      <c r="BD27" s="325">
        <f>Data!DQ26/BD$4*100000*BD$3</f>
        <v>26209.743472135771</v>
      </c>
      <c r="BE27" s="325">
        <f>Data!DR26/BE$4*100000*BE$3</f>
        <v>17242.078786157654</v>
      </c>
    </row>
    <row r="28" spans="1:57" ht="12" customHeight="1">
      <c r="A28" s="67"/>
      <c r="B28" s="129" t="str">
        <f>UPPER(LEFT(TRIM(Data!B27),1)) &amp; MID(TRIM(Data!B27),2,50)</f>
        <v>Kiaušidžių</v>
      </c>
      <c r="C28" s="129" t="str">
        <f>UPPER(LEFT(TRIM(Data!C27),1)) &amp; MID(TRIM(Data!C27),2,50)</f>
        <v>C56</v>
      </c>
      <c r="D28" s="142">
        <f>Data!BR27</f>
        <v>278</v>
      </c>
      <c r="E28" s="143">
        <f t="shared" si="5"/>
        <v>17.74115526829349</v>
      </c>
      <c r="F28" s="133">
        <f t="shared" si="6"/>
        <v>10.785075205784812</v>
      </c>
      <c r="G28" s="133">
        <f t="shared" si="7"/>
        <v>7.5262426912198377</v>
      </c>
      <c r="H28" s="72"/>
      <c r="I28" s="72"/>
      <c r="J28" s="72"/>
      <c r="K28" s="72"/>
      <c r="L28" s="72"/>
      <c r="M28" s="72"/>
      <c r="N28" s="72"/>
      <c r="O28" s="72"/>
      <c r="P28" s="72"/>
      <c r="Q28" s="317"/>
      <c r="R28" s="333" t="s">
        <v>353</v>
      </c>
      <c r="S28" s="325">
        <f t="shared" si="3"/>
        <v>1078507.5205784813</v>
      </c>
      <c r="T28" s="325">
        <f>Data!DA27/T$4*100000*T$3</f>
        <v>0</v>
      </c>
      <c r="U28" s="325">
        <f>Data!DB27/U$4*100000*U$3</f>
        <v>0</v>
      </c>
      <c r="V28" s="325">
        <f>Data!DC27/V$4*100000*V$3</f>
        <v>0</v>
      </c>
      <c r="W28" s="325">
        <f>Data!DD27/W$4*100000*W$3</f>
        <v>0</v>
      </c>
      <c r="X28" s="325">
        <f>Data!DE27/X$4*100000*X$3</f>
        <v>7138.4866408321441</v>
      </c>
      <c r="Y28" s="325">
        <f>Data!DF27/Y$4*100000*Y$3</f>
        <v>0</v>
      </c>
      <c r="Z28" s="325">
        <f>Data!DG27/Z$4*100000*Z$3</f>
        <v>7974.299970381172</v>
      </c>
      <c r="AA28" s="325">
        <f>Data!DH27/AA$4*100000*AA$3</f>
        <v>23544.448555379902</v>
      </c>
      <c r="AB28" s="325">
        <f>Data!DI27/AB$4*100000*AB$3</f>
        <v>47869.79415988511</v>
      </c>
      <c r="AC28" s="325">
        <f>Data!DJ27/AC$4*100000*AC$3</f>
        <v>83615.881504350778</v>
      </c>
      <c r="AD28" s="325">
        <f>Data!DK27/AD$4*100000*AD$3</f>
        <v>146497.45512992231</v>
      </c>
      <c r="AE28" s="325">
        <f>Data!DL27/AE$4*100000*AE$3</f>
        <v>133472.50979653999</v>
      </c>
      <c r="AF28" s="325">
        <f>Data!DM27/AF$4*100000*AF$3</f>
        <v>138060.80811593018</v>
      </c>
      <c r="AG28" s="325">
        <f>Data!DN27/AG$4*100000*AG$3</f>
        <v>131791.22452225682</v>
      </c>
      <c r="AH28" s="325">
        <f>Data!DO27/AH$4*100000*AH$3</f>
        <v>135371.02347618539</v>
      </c>
      <c r="AI28" s="325">
        <f>Data!DP27/AI$4*100000*AI$3</f>
        <v>106154.49181622929</v>
      </c>
      <c r="AJ28" s="325">
        <f>Data!DQ27/AJ$4*100000*AJ$3</f>
        <v>62248.140746322439</v>
      </c>
      <c r="AK28" s="325">
        <f>Data!DR27/AK$4*100000*AK$3</f>
        <v>54768.956144265496</v>
      </c>
      <c r="AL28" s="333" t="s">
        <v>353</v>
      </c>
      <c r="AM28" s="325">
        <f t="shared" si="4"/>
        <v>752624.26912198379</v>
      </c>
      <c r="AN28" s="325">
        <f>Data!DA27/AN$4*100000*AN$3</f>
        <v>0</v>
      </c>
      <c r="AO28" s="325">
        <f>Data!DB27/AO$4*100000*AO$3</f>
        <v>0</v>
      </c>
      <c r="AP28" s="325">
        <f>Data!DC27/AP$4*100000*AP$3</f>
        <v>0</v>
      </c>
      <c r="AQ28" s="325">
        <f>Data!DD27/AQ$4*100000*AQ$3</f>
        <v>0</v>
      </c>
      <c r="AR28" s="325">
        <f>Data!DE27/AR$4*100000*AR$3</f>
        <v>8158.2704466653076</v>
      </c>
      <c r="AS28" s="325">
        <f>Data!DF27/AS$4*100000*AS$3</f>
        <v>0</v>
      </c>
      <c r="AT28" s="325">
        <f>Data!DG27/AT$4*100000*AT$3</f>
        <v>6835.114260326719</v>
      </c>
      <c r="AU28" s="325">
        <f>Data!DH27/AU$4*100000*AU$3</f>
        <v>20180.955904611346</v>
      </c>
      <c r="AV28" s="325">
        <f>Data!DI27/AV$4*100000*AV$3</f>
        <v>41031.252137044386</v>
      </c>
      <c r="AW28" s="325">
        <f>Data!DJ27/AW$4*100000*AW$3</f>
        <v>71670.755575157818</v>
      </c>
      <c r="AX28" s="325">
        <f>Data!DK27/AX$4*100000*AX$3</f>
        <v>104641.03937851594</v>
      </c>
      <c r="AY28" s="325">
        <f>Data!DL27/AY$4*100000*AY$3</f>
        <v>88981.673197693322</v>
      </c>
      <c r="AZ28" s="325">
        <f>Data!DM27/AZ$4*100000*AZ$3</f>
        <v>110448.64649274414</v>
      </c>
      <c r="BA28" s="325">
        <f>Data!DN27/BA$4*100000*BA$3</f>
        <v>98843.418391692612</v>
      </c>
      <c r="BB28" s="325">
        <f>Data!DO27/BB$4*100000*BB$3</f>
        <v>90247.348984123586</v>
      </c>
      <c r="BC28" s="325">
        <f>Data!DP27/BC$4*100000*BC$3</f>
        <v>53077.245908114644</v>
      </c>
      <c r="BD28" s="325">
        <f>Data!DQ27/BD$4*100000*BD$3</f>
        <v>31124.070373161219</v>
      </c>
      <c r="BE28" s="325">
        <f>Data!DR27/BE$4*100000*BE$3</f>
        <v>27384.478072132748</v>
      </c>
    </row>
    <row r="29" spans="1:57" ht="12" customHeight="1">
      <c r="A29" s="67"/>
      <c r="B29" s="151" t="str">
        <f>UPPER(LEFT(TRIM(Data!B30),1)) &amp; MID(TRIM(Data!B30),2,50)</f>
        <v>Kitų lyties organų</v>
      </c>
      <c r="C29" s="145" t="s">
        <v>418</v>
      </c>
      <c r="D29" s="152">
        <f>Data!BR30</f>
        <v>23</v>
      </c>
      <c r="E29" s="153">
        <f t="shared" si="5"/>
        <v>1.4677934214775192</v>
      </c>
      <c r="F29" s="154">
        <f t="shared" si="6"/>
        <v>0.65840613724254582</v>
      </c>
      <c r="G29" s="154">
        <f t="shared" si="7"/>
        <v>0.42338924591108235</v>
      </c>
      <c r="H29" s="72"/>
      <c r="I29" s="72"/>
      <c r="J29" s="72"/>
      <c r="K29" s="72"/>
      <c r="L29" s="72"/>
      <c r="M29" s="72"/>
      <c r="N29" s="72"/>
      <c r="O29" s="72"/>
      <c r="P29" s="72"/>
      <c r="Q29" s="317"/>
      <c r="R29" s="333" t="s">
        <v>353</v>
      </c>
      <c r="S29" s="325">
        <f t="shared" si="3"/>
        <v>65840.613724254581</v>
      </c>
      <c r="T29" s="325">
        <f>Data!DA30/T$4*100000*T$3</f>
        <v>0</v>
      </c>
      <c r="U29" s="325">
        <f>Data!DB30/U$4*100000*U$3</f>
        <v>0</v>
      </c>
      <c r="V29" s="325">
        <f>Data!DC30/V$4*100000*V$3</f>
        <v>0</v>
      </c>
      <c r="W29" s="325">
        <f>Data!DD30/W$4*100000*W$3</f>
        <v>0</v>
      </c>
      <c r="X29" s="325">
        <f>Data!DE30/X$4*100000*X$3</f>
        <v>0</v>
      </c>
      <c r="Y29" s="325">
        <f>Data!DF30/Y$4*100000*Y$3</f>
        <v>0</v>
      </c>
      <c r="Z29" s="325">
        <f>Data!DG30/Z$4*100000*Z$3</f>
        <v>0</v>
      </c>
      <c r="AA29" s="325">
        <f>Data!DH30/AA$4*100000*AA$3</f>
        <v>0</v>
      </c>
      <c r="AB29" s="325">
        <f>Data!DI30/AB$4*100000*AB$3</f>
        <v>0</v>
      </c>
      <c r="AC29" s="325">
        <f>Data!DJ30/AC$4*100000*AC$3</f>
        <v>6431.9908849500598</v>
      </c>
      <c r="AD29" s="325">
        <f>Data!DK30/AD$4*100000*AD$3</f>
        <v>0</v>
      </c>
      <c r="AE29" s="325">
        <f>Data!DL30/AE$4*100000*AE$3</f>
        <v>0</v>
      </c>
      <c r="AF29" s="325">
        <f>Data!DM30/AF$4*100000*AF$3</f>
        <v>10226.726527105939</v>
      </c>
      <c r="AG29" s="325">
        <f>Data!DN30/AG$4*100000*AG$3</f>
        <v>9089.0499670521949</v>
      </c>
      <c r="AH29" s="325">
        <f>Data!DO30/AH$4*100000*AH$3</f>
        <v>10687.186063909372</v>
      </c>
      <c r="AI29" s="325">
        <f>Data!DP30/AI$4*100000*AI$3</f>
        <v>7406.1273360159967</v>
      </c>
      <c r="AJ29" s="325">
        <f>Data!DQ30/AJ$4*100000*AJ$3</f>
        <v>9828.6538020509124</v>
      </c>
      <c r="AK29" s="325">
        <f>Data!DR30/AK$4*100000*AK$3</f>
        <v>12170.879143170108</v>
      </c>
      <c r="AL29" s="333" t="s">
        <v>353</v>
      </c>
      <c r="AM29" s="325">
        <f t="shared" si="4"/>
        <v>42338.924591108233</v>
      </c>
      <c r="AN29" s="325">
        <f>Data!DA30/AN$4*100000*AN$3</f>
        <v>0</v>
      </c>
      <c r="AO29" s="325">
        <f>Data!DB30/AO$4*100000*AO$3</f>
        <v>0</v>
      </c>
      <c r="AP29" s="325">
        <f>Data!DC30/AP$4*100000*AP$3</f>
        <v>0</v>
      </c>
      <c r="AQ29" s="325">
        <f>Data!DD30/AQ$4*100000*AQ$3</f>
        <v>0</v>
      </c>
      <c r="AR29" s="325">
        <f>Data!DE30/AR$4*100000*AR$3</f>
        <v>0</v>
      </c>
      <c r="AS29" s="325">
        <f>Data!DF30/AS$4*100000*AS$3</f>
        <v>0</v>
      </c>
      <c r="AT29" s="325">
        <f>Data!DG30/AT$4*100000*AT$3</f>
        <v>0</v>
      </c>
      <c r="AU29" s="325">
        <f>Data!DH30/AU$4*100000*AU$3</f>
        <v>0</v>
      </c>
      <c r="AV29" s="325">
        <f>Data!DI30/AV$4*100000*AV$3</f>
        <v>0</v>
      </c>
      <c r="AW29" s="325">
        <f>Data!DJ30/AW$4*100000*AW$3</f>
        <v>5513.1350442429084</v>
      </c>
      <c r="AX29" s="325">
        <f>Data!DK30/AX$4*100000*AX$3</f>
        <v>0</v>
      </c>
      <c r="AY29" s="325">
        <f>Data!DL30/AY$4*100000*AY$3</f>
        <v>0</v>
      </c>
      <c r="AZ29" s="325">
        <f>Data!DM30/AZ$4*100000*AZ$3</f>
        <v>8181.3812216847509</v>
      </c>
      <c r="BA29" s="325">
        <f>Data!DN30/BA$4*100000*BA$3</f>
        <v>6816.7874752891457</v>
      </c>
      <c r="BB29" s="325">
        <f>Data!DO30/BB$4*100000*BB$3</f>
        <v>7124.7907092729147</v>
      </c>
      <c r="BC29" s="325">
        <f>Data!DP30/BC$4*100000*BC$3</f>
        <v>3703.0636680079983</v>
      </c>
      <c r="BD29" s="325">
        <f>Data!DQ30/BD$4*100000*BD$3</f>
        <v>4914.3269010254562</v>
      </c>
      <c r="BE29" s="325">
        <f>Data!DR30/BE$4*100000*BE$3</f>
        <v>6085.4395715850542</v>
      </c>
    </row>
    <row r="30" spans="1:57" ht="12" customHeight="1">
      <c r="A30" s="67"/>
      <c r="B30" s="129" t="str">
        <f>UPPER(LEFT(TRIM(Data!B31),1)) &amp; MID(TRIM(Data!B31),2,50)</f>
        <v>Inkstų</v>
      </c>
      <c r="C30" s="129" t="str">
        <f>UPPER(LEFT(TRIM(Data!C31),1)) &amp; MID(TRIM(Data!C31),2,50)</f>
        <v>C64</v>
      </c>
      <c r="D30" s="142">
        <f>Data!BR31</f>
        <v>107</v>
      </c>
      <c r="E30" s="143">
        <f t="shared" si="5"/>
        <v>6.8284302651345454</v>
      </c>
      <c r="F30" s="133">
        <f t="shared" si="6"/>
        <v>3.434301937758081</v>
      </c>
      <c r="G30" s="133">
        <f t="shared" si="7"/>
        <v>2.265617978170086</v>
      </c>
      <c r="H30" s="72"/>
      <c r="I30" s="72"/>
      <c r="J30" s="72"/>
      <c r="K30" s="72"/>
      <c r="L30" s="72"/>
      <c r="M30" s="72"/>
      <c r="N30" s="72"/>
      <c r="O30" s="72"/>
      <c r="P30" s="72"/>
      <c r="Q30" s="317"/>
      <c r="R30" s="333" t="s">
        <v>353</v>
      </c>
      <c r="S30" s="325">
        <f t="shared" si="3"/>
        <v>343430.19377580809</v>
      </c>
      <c r="T30" s="325">
        <f>Data!DA31/T$4*100000*T$3</f>
        <v>0</v>
      </c>
      <c r="U30" s="325">
        <f>Data!DB31/U$4*100000*U$3</f>
        <v>0</v>
      </c>
      <c r="V30" s="325">
        <f>Data!DC31/V$4*100000*V$3</f>
        <v>0</v>
      </c>
      <c r="W30" s="325">
        <f>Data!DD31/W$4*100000*W$3</f>
        <v>0</v>
      </c>
      <c r="X30" s="325">
        <f>Data!DE31/X$4*100000*X$3</f>
        <v>0</v>
      </c>
      <c r="Y30" s="325">
        <f>Data!DF31/Y$4*100000*Y$3</f>
        <v>0</v>
      </c>
      <c r="Z30" s="325">
        <f>Data!DG31/Z$4*100000*Z$3</f>
        <v>0</v>
      </c>
      <c r="AA30" s="325">
        <f>Data!DH31/AA$4*100000*AA$3</f>
        <v>7848.149518459968</v>
      </c>
      <c r="AB30" s="325">
        <f>Data!DI31/AB$4*100000*AB$3</f>
        <v>0</v>
      </c>
      <c r="AC30" s="325">
        <f>Data!DJ31/AC$4*100000*AC$3</f>
        <v>19295.972654850182</v>
      </c>
      <c r="AD30" s="325">
        <f>Data!DK31/AD$4*100000*AD$3</f>
        <v>5859.8982051968933</v>
      </c>
      <c r="AE30" s="325">
        <f>Data!DL31/AE$4*100000*AE$3</f>
        <v>15400.674207293074</v>
      </c>
      <c r="AF30" s="325">
        <f>Data!DM31/AF$4*100000*AF$3</f>
        <v>46020.269371976727</v>
      </c>
      <c r="AG30" s="325">
        <f>Data!DN31/AG$4*100000*AG$3</f>
        <v>86345.974686995847</v>
      </c>
      <c r="AH30" s="325">
        <f>Data!DO31/AH$4*100000*AH$3</f>
        <v>35623.953546364573</v>
      </c>
      <c r="AI30" s="325">
        <f>Data!DP31/AI$4*100000*AI$3</f>
        <v>66655.146024143978</v>
      </c>
      <c r="AJ30" s="325">
        <f>Data!DQ31/AJ$4*100000*AJ$3</f>
        <v>36038.397274186682</v>
      </c>
      <c r="AK30" s="325">
        <f>Data!DR31/AK$4*100000*AK$3</f>
        <v>24341.758286340217</v>
      </c>
      <c r="AL30" s="333" t="s">
        <v>353</v>
      </c>
      <c r="AM30" s="325">
        <f t="shared" si="4"/>
        <v>226561.7978170086</v>
      </c>
      <c r="AN30" s="325">
        <f>Data!DA31/AN$4*100000*AN$3</f>
        <v>0</v>
      </c>
      <c r="AO30" s="325">
        <f>Data!DB31/AO$4*100000*AO$3</f>
        <v>0</v>
      </c>
      <c r="AP30" s="325">
        <f>Data!DC31/AP$4*100000*AP$3</f>
        <v>0</v>
      </c>
      <c r="AQ30" s="325">
        <f>Data!DD31/AQ$4*100000*AQ$3</f>
        <v>0</v>
      </c>
      <c r="AR30" s="325">
        <f>Data!DE31/AR$4*100000*AR$3</f>
        <v>0</v>
      </c>
      <c r="AS30" s="325">
        <f>Data!DF31/AS$4*100000*AS$3</f>
        <v>0</v>
      </c>
      <c r="AT30" s="325">
        <f>Data!DG31/AT$4*100000*AT$3</f>
        <v>0</v>
      </c>
      <c r="AU30" s="325">
        <f>Data!DH31/AU$4*100000*AU$3</f>
        <v>6726.9853015371154</v>
      </c>
      <c r="AV30" s="325">
        <f>Data!DI31/AV$4*100000*AV$3</f>
        <v>0</v>
      </c>
      <c r="AW30" s="325">
        <f>Data!DJ31/AW$4*100000*AW$3</f>
        <v>16539.405132728727</v>
      </c>
      <c r="AX30" s="325">
        <f>Data!DK31/AX$4*100000*AX$3</f>
        <v>4185.6415751406375</v>
      </c>
      <c r="AY30" s="325">
        <f>Data!DL31/AY$4*100000*AY$3</f>
        <v>10267.116138195383</v>
      </c>
      <c r="AZ30" s="325">
        <f>Data!DM31/AZ$4*100000*AZ$3</f>
        <v>36816.215497581383</v>
      </c>
      <c r="BA30" s="325">
        <f>Data!DN31/BA$4*100000*BA$3</f>
        <v>64759.481015246885</v>
      </c>
      <c r="BB30" s="325">
        <f>Data!DO31/BB$4*100000*BB$3</f>
        <v>23749.302364243049</v>
      </c>
      <c r="BC30" s="325">
        <f>Data!DP31/BC$4*100000*BC$3</f>
        <v>33327.573012071989</v>
      </c>
      <c r="BD30" s="325">
        <f>Data!DQ31/BD$4*100000*BD$3</f>
        <v>18019.198637093341</v>
      </c>
      <c r="BE30" s="325">
        <f>Data!DR31/BE$4*100000*BE$3</f>
        <v>12170.879143170108</v>
      </c>
    </row>
    <row r="31" spans="1:57" ht="12" customHeight="1">
      <c r="A31" s="67"/>
      <c r="B31" s="151" t="str">
        <f>UPPER(LEFT(TRIM(Data!B32),1)) &amp; MID(TRIM(Data!B32),2,50)</f>
        <v>Šlapimo pūslės</v>
      </c>
      <c r="C31" s="145" t="str">
        <f>UPPER(LEFT(TRIM(Data!C32),1)) &amp; MID(TRIM(Data!C32),2,50)</f>
        <v>C67</v>
      </c>
      <c r="D31" s="152">
        <f>Data!BR32</f>
        <v>53</v>
      </c>
      <c r="E31" s="153">
        <f t="shared" si="5"/>
        <v>3.3823065799264573</v>
      </c>
      <c r="F31" s="154">
        <f t="shared" si="6"/>
        <v>1.3339280569946885</v>
      </c>
      <c r="G31" s="154">
        <f t="shared" si="7"/>
        <v>0.79498454589429512</v>
      </c>
      <c r="H31" s="72"/>
      <c r="I31" s="72"/>
      <c r="J31" s="72"/>
      <c r="K31" s="72"/>
      <c r="L31" s="72"/>
      <c r="M31" s="72"/>
      <c r="N31" s="72"/>
      <c r="O31" s="72"/>
      <c r="P31" s="72"/>
      <c r="Q31" s="317"/>
      <c r="R31" s="333" t="s">
        <v>353</v>
      </c>
      <c r="S31" s="325">
        <f t="shared" si="3"/>
        <v>133392.80569946885</v>
      </c>
      <c r="T31" s="325">
        <f>Data!DA32/T$4*100000*T$3</f>
        <v>0</v>
      </c>
      <c r="U31" s="325">
        <f>Data!DB32/U$4*100000*U$3</f>
        <v>0</v>
      </c>
      <c r="V31" s="325">
        <f>Data!DC32/V$4*100000*V$3</f>
        <v>0</v>
      </c>
      <c r="W31" s="325">
        <f>Data!DD32/W$4*100000*W$3</f>
        <v>0</v>
      </c>
      <c r="X31" s="325">
        <f>Data!DE32/X$4*100000*X$3</f>
        <v>0</v>
      </c>
      <c r="Y31" s="325">
        <f>Data!DF32/Y$4*100000*Y$3</f>
        <v>0</v>
      </c>
      <c r="Z31" s="325">
        <f>Data!DG32/Z$4*100000*Z$3</f>
        <v>0</v>
      </c>
      <c r="AA31" s="325">
        <f>Data!DH32/AA$4*100000*AA$3</f>
        <v>0</v>
      </c>
      <c r="AB31" s="325">
        <f>Data!DI32/AB$4*100000*AB$3</f>
        <v>0</v>
      </c>
      <c r="AC31" s="325">
        <f>Data!DJ32/AC$4*100000*AC$3</f>
        <v>6431.9908849500598</v>
      </c>
      <c r="AD31" s="325">
        <f>Data!DK32/AD$4*100000*AD$3</f>
        <v>5859.8982051968933</v>
      </c>
      <c r="AE31" s="325">
        <f>Data!DL32/AE$4*100000*AE$3</f>
        <v>0</v>
      </c>
      <c r="AF31" s="325">
        <f>Data!DM32/AF$4*100000*AF$3</f>
        <v>15340.089790658909</v>
      </c>
      <c r="AG31" s="325">
        <f>Data!DN32/AG$4*100000*AG$3</f>
        <v>9089.0499670521949</v>
      </c>
      <c r="AH31" s="325">
        <f>Data!DO32/AH$4*100000*AH$3</f>
        <v>14249.581418545829</v>
      </c>
      <c r="AI31" s="325">
        <f>Data!DP32/AI$4*100000*AI$3</f>
        <v>17280.963784037325</v>
      </c>
      <c r="AJ31" s="325">
        <f>Data!DQ32/AJ$4*100000*AJ$3</f>
        <v>24571.63450512728</v>
      </c>
      <c r="AK31" s="325">
        <f>Data!DR32/AK$4*100000*AK$3</f>
        <v>40569.597143900362</v>
      </c>
      <c r="AL31" s="333" t="s">
        <v>353</v>
      </c>
      <c r="AM31" s="325">
        <f t="shared" si="4"/>
        <v>79498.454589429515</v>
      </c>
      <c r="AN31" s="325">
        <f>Data!DA32/AN$4*100000*AN$3</f>
        <v>0</v>
      </c>
      <c r="AO31" s="325">
        <f>Data!DB32/AO$4*100000*AO$3</f>
        <v>0</v>
      </c>
      <c r="AP31" s="325">
        <f>Data!DC32/AP$4*100000*AP$3</f>
        <v>0</v>
      </c>
      <c r="AQ31" s="325">
        <f>Data!DD32/AQ$4*100000*AQ$3</f>
        <v>0</v>
      </c>
      <c r="AR31" s="325">
        <f>Data!DE32/AR$4*100000*AR$3</f>
        <v>0</v>
      </c>
      <c r="AS31" s="325">
        <f>Data!DF32/AS$4*100000*AS$3</f>
        <v>0</v>
      </c>
      <c r="AT31" s="325">
        <f>Data!DG32/AT$4*100000*AT$3</f>
        <v>0</v>
      </c>
      <c r="AU31" s="325">
        <f>Data!DH32/AU$4*100000*AU$3</f>
        <v>0</v>
      </c>
      <c r="AV31" s="325">
        <f>Data!DI32/AV$4*100000*AV$3</f>
        <v>0</v>
      </c>
      <c r="AW31" s="325">
        <f>Data!DJ32/AW$4*100000*AW$3</f>
        <v>5513.1350442429084</v>
      </c>
      <c r="AX31" s="325">
        <f>Data!DK32/AX$4*100000*AX$3</f>
        <v>4185.6415751406375</v>
      </c>
      <c r="AY31" s="325">
        <f>Data!DL32/AY$4*100000*AY$3</f>
        <v>0</v>
      </c>
      <c r="AZ31" s="325">
        <f>Data!DM32/AZ$4*100000*AZ$3</f>
        <v>12272.071832527126</v>
      </c>
      <c r="BA31" s="325">
        <f>Data!DN32/BA$4*100000*BA$3</f>
        <v>6816.7874752891457</v>
      </c>
      <c r="BB31" s="325">
        <f>Data!DO32/BB$4*100000*BB$3</f>
        <v>9499.7209456972196</v>
      </c>
      <c r="BC31" s="325">
        <f>Data!DP32/BC$4*100000*BC$3</f>
        <v>8640.4818920186626</v>
      </c>
      <c r="BD31" s="325">
        <f>Data!DQ32/BD$4*100000*BD$3</f>
        <v>12285.81725256364</v>
      </c>
      <c r="BE31" s="325">
        <f>Data!DR32/BE$4*100000*BE$3</f>
        <v>20284.798571950181</v>
      </c>
    </row>
    <row r="32" spans="1:57" ht="12" customHeight="1">
      <c r="A32" s="67"/>
      <c r="B32" s="129" t="str">
        <f>UPPER(LEFT(TRIM(Data!B33),1)) &amp; MID(TRIM(Data!B33),2,50)</f>
        <v>Kitų šlapimą išskiriančių organų</v>
      </c>
      <c r="C32" s="129" t="str">
        <f>UPPER(LEFT(TRIM(Data!C33),1)) &amp; MID(TRIM(Data!C33),2,50)</f>
        <v>C65, C66, C68</v>
      </c>
      <c r="D32" s="142">
        <f>Data!BR33</f>
        <v>16</v>
      </c>
      <c r="E32" s="143">
        <f t="shared" si="5"/>
        <v>1.0210736845061001</v>
      </c>
      <c r="F32" s="133">
        <f t="shared" si="6"/>
        <v>0.48585554090914901</v>
      </c>
      <c r="G32" s="133">
        <f t="shared" si="7"/>
        <v>0.30854579277756056</v>
      </c>
      <c r="H32" s="72"/>
      <c r="I32" s="72"/>
      <c r="J32" s="72"/>
      <c r="K32" s="72"/>
      <c r="L32" s="72"/>
      <c r="M32" s="72"/>
      <c r="N32" s="72"/>
      <c r="O32" s="72"/>
      <c r="P32" s="72"/>
      <c r="Q32" s="317"/>
      <c r="R32" s="333" t="s">
        <v>353</v>
      </c>
      <c r="S32" s="325">
        <f t="shared" si="3"/>
        <v>48585.554090914899</v>
      </c>
      <c r="T32" s="325">
        <f>Data!DA33/T$4*100000*T$3</f>
        <v>0</v>
      </c>
      <c r="U32" s="325">
        <f>Data!DB33/U$4*100000*U$3</f>
        <v>0</v>
      </c>
      <c r="V32" s="325">
        <f>Data!DC33/V$4*100000*V$3</f>
        <v>0</v>
      </c>
      <c r="W32" s="325">
        <f>Data!DD33/W$4*100000*W$3</f>
        <v>0</v>
      </c>
      <c r="X32" s="325">
        <f>Data!DE33/X$4*100000*X$3</f>
        <v>0</v>
      </c>
      <c r="Y32" s="325">
        <f>Data!DF33/Y$4*100000*Y$3</f>
        <v>0</v>
      </c>
      <c r="Z32" s="325">
        <f>Data!DG33/Z$4*100000*Z$3</f>
        <v>0</v>
      </c>
      <c r="AA32" s="325">
        <f>Data!DH33/AA$4*100000*AA$3</f>
        <v>0</v>
      </c>
      <c r="AB32" s="325">
        <f>Data!DI33/AB$4*100000*AB$3</f>
        <v>6838.5420228407311</v>
      </c>
      <c r="AC32" s="325">
        <f>Data!DJ33/AC$4*100000*AC$3</f>
        <v>0</v>
      </c>
      <c r="AD32" s="325">
        <f>Data!DK33/AD$4*100000*AD$3</f>
        <v>0</v>
      </c>
      <c r="AE32" s="325">
        <f>Data!DL33/AE$4*100000*AE$3</f>
        <v>5133.5580690976913</v>
      </c>
      <c r="AF32" s="325">
        <f>Data!DM33/AF$4*100000*AF$3</f>
        <v>5113.3632635529693</v>
      </c>
      <c r="AG32" s="325">
        <f>Data!DN33/AG$4*100000*AG$3</f>
        <v>4544.5249835260975</v>
      </c>
      <c r="AH32" s="325">
        <f>Data!DO33/AH$4*100000*AH$3</f>
        <v>3562.3953546364573</v>
      </c>
      <c r="AI32" s="325">
        <f>Data!DP33/AI$4*100000*AI$3</f>
        <v>14812.254672031993</v>
      </c>
      <c r="AJ32" s="325">
        <f>Data!DQ33/AJ$4*100000*AJ$3</f>
        <v>6552.4358680339428</v>
      </c>
      <c r="AK32" s="325">
        <f>Data!DR33/AK$4*100000*AK$3</f>
        <v>2028.479857195018</v>
      </c>
      <c r="AL32" s="333" t="s">
        <v>353</v>
      </c>
      <c r="AM32" s="325">
        <f t="shared" si="4"/>
        <v>30854.579277756056</v>
      </c>
      <c r="AN32" s="325">
        <f>Data!DA33/AN$4*100000*AN$3</f>
        <v>0</v>
      </c>
      <c r="AO32" s="325">
        <f>Data!DB33/AO$4*100000*AO$3</f>
        <v>0</v>
      </c>
      <c r="AP32" s="325">
        <f>Data!DC33/AP$4*100000*AP$3</f>
        <v>0</v>
      </c>
      <c r="AQ32" s="325">
        <f>Data!DD33/AQ$4*100000*AQ$3</f>
        <v>0</v>
      </c>
      <c r="AR32" s="325">
        <f>Data!DE33/AR$4*100000*AR$3</f>
        <v>0</v>
      </c>
      <c r="AS32" s="325">
        <f>Data!DF33/AS$4*100000*AS$3</f>
        <v>0</v>
      </c>
      <c r="AT32" s="325">
        <f>Data!DG33/AT$4*100000*AT$3</f>
        <v>0</v>
      </c>
      <c r="AU32" s="325">
        <f>Data!DH33/AU$4*100000*AU$3</f>
        <v>0</v>
      </c>
      <c r="AV32" s="325">
        <f>Data!DI33/AV$4*100000*AV$3</f>
        <v>5861.6074481491978</v>
      </c>
      <c r="AW32" s="325">
        <f>Data!DJ33/AW$4*100000*AW$3</f>
        <v>0</v>
      </c>
      <c r="AX32" s="325">
        <f>Data!DK33/AX$4*100000*AX$3</f>
        <v>0</v>
      </c>
      <c r="AY32" s="325">
        <f>Data!DL33/AY$4*100000*AY$3</f>
        <v>3422.3720460651275</v>
      </c>
      <c r="AZ32" s="325">
        <f>Data!DM33/AZ$4*100000*AZ$3</f>
        <v>4090.6906108423755</v>
      </c>
      <c r="BA32" s="325">
        <f>Data!DN33/BA$4*100000*BA$3</f>
        <v>3408.3937376445729</v>
      </c>
      <c r="BB32" s="325">
        <f>Data!DO33/BB$4*100000*BB$3</f>
        <v>2374.9302364243049</v>
      </c>
      <c r="BC32" s="325">
        <f>Data!DP33/BC$4*100000*BC$3</f>
        <v>7406.1273360159967</v>
      </c>
      <c r="BD32" s="325">
        <f>Data!DQ33/BD$4*100000*BD$3</f>
        <v>3276.2179340169714</v>
      </c>
      <c r="BE32" s="325">
        <f>Data!DR33/BE$4*100000*BE$3</f>
        <v>1014.239928597509</v>
      </c>
    </row>
    <row r="33" spans="1:57" ht="12" customHeight="1">
      <c r="A33" s="67"/>
      <c r="B33" s="151" t="str">
        <f>UPPER(LEFT(TRIM(Data!B34),1)) &amp; MID(TRIM(Data!B34),2,50)</f>
        <v>Akių</v>
      </c>
      <c r="C33" s="145" t="str">
        <f>UPPER(LEFT(TRIM(Data!C34),1)) &amp; MID(TRIM(Data!C34),2,50)</f>
        <v>C69</v>
      </c>
      <c r="D33" s="152">
        <f>Data!BR34</f>
        <v>7</v>
      </c>
      <c r="E33" s="153">
        <f t="shared" si="5"/>
        <v>0.44671973697141887</v>
      </c>
      <c r="F33" s="154">
        <f t="shared" si="6"/>
        <v>0.27425431579082965</v>
      </c>
      <c r="G33" s="154">
        <f t="shared" si="7"/>
        <v>0.19260169730460769</v>
      </c>
      <c r="H33" s="72"/>
      <c r="I33" s="72"/>
      <c r="J33" s="72"/>
      <c r="K33" s="72"/>
      <c r="L33" s="72"/>
      <c r="M33" s="72"/>
      <c r="N33" s="72"/>
      <c r="O33" s="72"/>
      <c r="P33" s="72"/>
      <c r="Q33" s="317"/>
      <c r="R33" s="333" t="s">
        <v>353</v>
      </c>
      <c r="S33" s="325">
        <f t="shared" si="3"/>
        <v>27425.431579082964</v>
      </c>
      <c r="T33" s="325">
        <f>Data!DA34/T$4*100000*T$3</f>
        <v>0</v>
      </c>
      <c r="U33" s="325">
        <f>Data!DB34/U$4*100000*U$3</f>
        <v>0</v>
      </c>
      <c r="V33" s="325">
        <f>Data!DC34/V$4*100000*V$3</f>
        <v>0</v>
      </c>
      <c r="W33" s="325">
        <f>Data!DD34/W$4*100000*W$3</f>
        <v>0</v>
      </c>
      <c r="X33" s="325">
        <f>Data!DE34/X$4*100000*X$3</f>
        <v>0</v>
      </c>
      <c r="Y33" s="325">
        <f>Data!DF34/Y$4*100000*Y$3</f>
        <v>0</v>
      </c>
      <c r="Z33" s="325">
        <f>Data!DG34/Z$4*100000*Z$3</f>
        <v>0</v>
      </c>
      <c r="AA33" s="325">
        <f>Data!DH34/AA$4*100000*AA$3</f>
        <v>0</v>
      </c>
      <c r="AB33" s="325">
        <f>Data!DI34/AB$4*100000*AB$3</f>
        <v>6838.5420228407311</v>
      </c>
      <c r="AC33" s="325">
        <f>Data!DJ34/AC$4*100000*AC$3</f>
        <v>0</v>
      </c>
      <c r="AD33" s="325">
        <f>Data!DK34/AD$4*100000*AD$3</f>
        <v>11719.796410393787</v>
      </c>
      <c r="AE33" s="325">
        <f>Data!DL34/AE$4*100000*AE$3</f>
        <v>0</v>
      </c>
      <c r="AF33" s="325">
        <f>Data!DM34/AF$4*100000*AF$3</f>
        <v>0</v>
      </c>
      <c r="AG33" s="325">
        <f>Data!DN34/AG$4*100000*AG$3</f>
        <v>0</v>
      </c>
      <c r="AH33" s="325">
        <f>Data!DO34/AH$4*100000*AH$3</f>
        <v>3562.3953546364573</v>
      </c>
      <c r="AI33" s="325">
        <f>Data!DP34/AI$4*100000*AI$3</f>
        <v>0</v>
      </c>
      <c r="AJ33" s="325">
        <f>Data!DQ34/AJ$4*100000*AJ$3</f>
        <v>3276.2179340169714</v>
      </c>
      <c r="AK33" s="325">
        <f>Data!DR34/AK$4*100000*AK$3</f>
        <v>2028.479857195018</v>
      </c>
      <c r="AL33" s="333" t="s">
        <v>353</v>
      </c>
      <c r="AM33" s="325">
        <f t="shared" si="4"/>
        <v>19260.16973046077</v>
      </c>
      <c r="AN33" s="325">
        <f>Data!DA34/AN$4*100000*AN$3</f>
        <v>0</v>
      </c>
      <c r="AO33" s="325">
        <f>Data!DB34/AO$4*100000*AO$3</f>
        <v>0</v>
      </c>
      <c r="AP33" s="325">
        <f>Data!DC34/AP$4*100000*AP$3</f>
        <v>0</v>
      </c>
      <c r="AQ33" s="325">
        <f>Data!DD34/AQ$4*100000*AQ$3</f>
        <v>0</v>
      </c>
      <c r="AR33" s="325">
        <f>Data!DE34/AR$4*100000*AR$3</f>
        <v>0</v>
      </c>
      <c r="AS33" s="325">
        <f>Data!DF34/AS$4*100000*AS$3</f>
        <v>0</v>
      </c>
      <c r="AT33" s="325">
        <f>Data!DG34/AT$4*100000*AT$3</f>
        <v>0</v>
      </c>
      <c r="AU33" s="325">
        <f>Data!DH34/AU$4*100000*AU$3</f>
        <v>0</v>
      </c>
      <c r="AV33" s="325">
        <f>Data!DI34/AV$4*100000*AV$3</f>
        <v>5861.6074481491978</v>
      </c>
      <c r="AW33" s="325">
        <f>Data!DJ34/AW$4*100000*AW$3</f>
        <v>0</v>
      </c>
      <c r="AX33" s="325">
        <f>Data!DK34/AX$4*100000*AX$3</f>
        <v>8371.2831502812751</v>
      </c>
      <c r="AY33" s="325">
        <f>Data!DL34/AY$4*100000*AY$3</f>
        <v>0</v>
      </c>
      <c r="AZ33" s="325">
        <f>Data!DM34/AZ$4*100000*AZ$3</f>
        <v>0</v>
      </c>
      <c r="BA33" s="325">
        <f>Data!DN34/BA$4*100000*BA$3</f>
        <v>0</v>
      </c>
      <c r="BB33" s="325">
        <f>Data!DO34/BB$4*100000*BB$3</f>
        <v>2374.9302364243049</v>
      </c>
      <c r="BC33" s="325">
        <f>Data!DP34/BC$4*100000*BC$3</f>
        <v>0</v>
      </c>
      <c r="BD33" s="325">
        <f>Data!DQ34/BD$4*100000*BD$3</f>
        <v>1638.1089670084857</v>
      </c>
      <c r="BE33" s="325">
        <f>Data!DR34/BE$4*100000*BE$3</f>
        <v>1014.239928597509</v>
      </c>
    </row>
    <row r="34" spans="1:57" ht="12" customHeight="1">
      <c r="A34" s="67"/>
      <c r="B34" s="129" t="str">
        <f>UPPER(LEFT(TRIM(Data!B35),1)) &amp; MID(TRIM(Data!B35),2,50)</f>
        <v>Smegenų</v>
      </c>
      <c r="C34" s="129" t="str">
        <f>UPPER(LEFT(TRIM(Data!C35),1)) &amp; MID(TRIM(Data!C35),2,50)</f>
        <v>C70-C72</v>
      </c>
      <c r="D34" s="142">
        <f>Data!BR35</f>
        <v>127</v>
      </c>
      <c r="E34" s="143">
        <f t="shared" si="5"/>
        <v>8.1047723707671704</v>
      </c>
      <c r="F34" s="133">
        <f t="shared" si="6"/>
        <v>5.4165684858258309</v>
      </c>
      <c r="G34" s="133">
        <f t="shared" si="7"/>
        <v>4.1664063536073916</v>
      </c>
      <c r="H34" s="72"/>
      <c r="I34" s="72"/>
      <c r="J34" s="72"/>
      <c r="K34" s="72"/>
      <c r="L34" s="72"/>
      <c r="M34" s="72"/>
      <c r="N34" s="72"/>
      <c r="O34" s="72"/>
      <c r="P34" s="72"/>
      <c r="Q34" s="317"/>
      <c r="R34" s="333" t="s">
        <v>353</v>
      </c>
      <c r="S34" s="325">
        <f t="shared" si="3"/>
        <v>541656.84858258313</v>
      </c>
      <c r="T34" s="325">
        <f>Data!DA35/T$4*100000*T$3</f>
        <v>10873.554157095674</v>
      </c>
      <c r="U34" s="325">
        <f>Data!DB35/U$4*100000*U$3</f>
        <v>20554.381019497301</v>
      </c>
      <c r="V34" s="325">
        <f>Data!DC35/V$4*100000*V$3</f>
        <v>10704.345964461572</v>
      </c>
      <c r="W34" s="325">
        <f>Data!DD35/W$4*100000*W$3</f>
        <v>0</v>
      </c>
      <c r="X34" s="325">
        <f>Data!DE35/X$4*100000*X$3</f>
        <v>0</v>
      </c>
      <c r="Y34" s="325">
        <f>Data!DF35/Y$4*100000*Y$3</f>
        <v>7357.2689817539731</v>
      </c>
      <c r="Z34" s="325">
        <f>Data!DG35/Z$4*100000*Z$3</f>
        <v>23922.899911143519</v>
      </c>
      <c r="AA34" s="325">
        <f>Data!DH35/AA$4*100000*AA$3</f>
        <v>7848.149518459968</v>
      </c>
      <c r="AB34" s="325">
        <f>Data!DI35/AB$4*100000*AB$3</f>
        <v>27354.168091362924</v>
      </c>
      <c r="AC34" s="325">
        <f>Data!DJ35/AC$4*100000*AC$3</f>
        <v>32159.9544247503</v>
      </c>
      <c r="AD34" s="325">
        <f>Data!DK35/AD$4*100000*AD$3</f>
        <v>29299.491025984458</v>
      </c>
      <c r="AE34" s="325">
        <f>Data!DL35/AE$4*100000*AE$3</f>
        <v>71869.812967367689</v>
      </c>
      <c r="AF34" s="325">
        <f>Data!DM35/AF$4*100000*AF$3</f>
        <v>40906.906108423755</v>
      </c>
      <c r="AG34" s="325">
        <f>Data!DN35/AG$4*100000*AG$3</f>
        <v>122702.1745552046</v>
      </c>
      <c r="AH34" s="325">
        <f>Data!DO35/AH$4*100000*AH$3</f>
        <v>53435.93031954686</v>
      </c>
      <c r="AI34" s="325">
        <f>Data!DP35/AI$4*100000*AI$3</f>
        <v>37030.636680079988</v>
      </c>
      <c r="AJ34" s="325">
        <f>Data!DQ35/AJ$4*100000*AJ$3</f>
        <v>21295.416571110309</v>
      </c>
      <c r="AK34" s="325">
        <f>Data!DR35/AK$4*100000*AK$3</f>
        <v>24341.758286340217</v>
      </c>
      <c r="AL34" s="333" t="s">
        <v>353</v>
      </c>
      <c r="AM34" s="325">
        <f t="shared" si="4"/>
        <v>416640.63536073914</v>
      </c>
      <c r="AN34" s="325">
        <f>Data!DA35/AN$4*100000*AN$3</f>
        <v>16310.331235643511</v>
      </c>
      <c r="AO34" s="325">
        <f>Data!DB35/AO$4*100000*AO$3</f>
        <v>29363.401456424715</v>
      </c>
      <c r="AP34" s="325">
        <f>Data!DC35/AP$4*100000*AP$3</f>
        <v>13762.730525736308</v>
      </c>
      <c r="AQ34" s="325">
        <f>Data!DD35/AQ$4*100000*AQ$3</f>
        <v>0</v>
      </c>
      <c r="AR34" s="325">
        <f>Data!DE35/AR$4*100000*AR$3</f>
        <v>0</v>
      </c>
      <c r="AS34" s="325">
        <f>Data!DF35/AS$4*100000*AS$3</f>
        <v>8408.3074077188267</v>
      </c>
      <c r="AT34" s="325">
        <f>Data!DG35/AT$4*100000*AT$3</f>
        <v>20505.342780980158</v>
      </c>
      <c r="AU34" s="325">
        <f>Data!DH35/AU$4*100000*AU$3</f>
        <v>6726.9853015371154</v>
      </c>
      <c r="AV34" s="325">
        <f>Data!DI35/AV$4*100000*AV$3</f>
        <v>23446.429792596791</v>
      </c>
      <c r="AW34" s="325">
        <f>Data!DJ35/AW$4*100000*AW$3</f>
        <v>27565.675221214544</v>
      </c>
      <c r="AX34" s="325">
        <f>Data!DK35/AX$4*100000*AX$3</f>
        <v>20928.207875703185</v>
      </c>
      <c r="AY34" s="325">
        <f>Data!DL35/AY$4*100000*AY$3</f>
        <v>47913.208644911792</v>
      </c>
      <c r="AZ34" s="325">
        <f>Data!DM35/AZ$4*100000*AZ$3</f>
        <v>32725.524886739004</v>
      </c>
      <c r="BA34" s="325">
        <f>Data!DN35/BA$4*100000*BA$3</f>
        <v>92026.630916403461</v>
      </c>
      <c r="BB34" s="325">
        <f>Data!DO35/BB$4*100000*BB$3</f>
        <v>35623.953546364573</v>
      </c>
      <c r="BC34" s="325">
        <f>Data!DP35/BC$4*100000*BC$3</f>
        <v>18515.318340039994</v>
      </c>
      <c r="BD34" s="325">
        <f>Data!DQ35/BD$4*100000*BD$3</f>
        <v>10647.708285555154</v>
      </c>
      <c r="BE34" s="325">
        <f>Data!DR35/BE$4*100000*BE$3</f>
        <v>12170.879143170108</v>
      </c>
    </row>
    <row r="35" spans="1:57" ht="12" customHeight="1">
      <c r="A35" s="67"/>
      <c r="B35" s="151" t="str">
        <f>UPPER(LEFT(TRIM(Data!B36),1)) &amp; MID(TRIM(Data!B36),2,50)</f>
        <v>Skydliaukės</v>
      </c>
      <c r="C35" s="145" t="str">
        <f>UPPER(LEFT(TRIM(Data!C36),1)) &amp; MID(TRIM(Data!C36),2,50)</f>
        <v>C73</v>
      </c>
      <c r="D35" s="152">
        <f>Data!BR36</f>
        <v>22</v>
      </c>
      <c r="E35" s="153">
        <f t="shared" si="5"/>
        <v>1.4039763161958878</v>
      </c>
      <c r="F35" s="154">
        <f t="shared" si="6"/>
        <v>0.57584053180924122</v>
      </c>
      <c r="G35" s="154">
        <f t="shared" si="7"/>
        <v>0.35319772158569041</v>
      </c>
      <c r="H35" s="72"/>
      <c r="I35" s="72"/>
      <c r="J35" s="72"/>
      <c r="K35" s="72"/>
      <c r="L35" s="72"/>
      <c r="M35" s="72"/>
      <c r="N35" s="72"/>
      <c r="O35" s="72"/>
      <c r="P35" s="72"/>
      <c r="Q35" s="317"/>
      <c r="R35" s="333" t="s">
        <v>353</v>
      </c>
      <c r="S35" s="325">
        <f t="shared" si="3"/>
        <v>57584.053180924122</v>
      </c>
      <c r="T35" s="325">
        <f>Data!DA36/T$4*100000*T$3</f>
        <v>0</v>
      </c>
      <c r="U35" s="325">
        <f>Data!DB36/U$4*100000*U$3</f>
        <v>0</v>
      </c>
      <c r="V35" s="325">
        <f>Data!DC36/V$4*100000*V$3</f>
        <v>0</v>
      </c>
      <c r="W35" s="325">
        <f>Data!DD36/W$4*100000*W$3</f>
        <v>0</v>
      </c>
      <c r="X35" s="325">
        <f>Data!DE36/X$4*100000*X$3</f>
        <v>0</v>
      </c>
      <c r="Y35" s="325">
        <f>Data!DF36/Y$4*100000*Y$3</f>
        <v>0</v>
      </c>
      <c r="Z35" s="325">
        <f>Data!DG36/Z$4*100000*Z$3</f>
        <v>0</v>
      </c>
      <c r="AA35" s="325">
        <f>Data!DH36/AA$4*100000*AA$3</f>
        <v>0</v>
      </c>
      <c r="AB35" s="325">
        <f>Data!DI36/AB$4*100000*AB$3</f>
        <v>0</v>
      </c>
      <c r="AC35" s="325">
        <f>Data!DJ36/AC$4*100000*AC$3</f>
        <v>0</v>
      </c>
      <c r="AD35" s="325">
        <f>Data!DK36/AD$4*100000*AD$3</f>
        <v>0</v>
      </c>
      <c r="AE35" s="325">
        <f>Data!DL36/AE$4*100000*AE$3</f>
        <v>0</v>
      </c>
      <c r="AF35" s="325">
        <f>Data!DM36/AF$4*100000*AF$3</f>
        <v>10226.726527105939</v>
      </c>
      <c r="AG35" s="325">
        <f>Data!DN36/AG$4*100000*AG$3</f>
        <v>9089.0499670521949</v>
      </c>
      <c r="AH35" s="325">
        <f>Data!DO36/AH$4*100000*AH$3</f>
        <v>7124.7907092729147</v>
      </c>
      <c r="AI35" s="325">
        <f>Data!DP36/AI$4*100000*AI$3</f>
        <v>12343.545560026663</v>
      </c>
      <c r="AJ35" s="325">
        <f>Data!DQ36/AJ$4*100000*AJ$3</f>
        <v>14742.98070307637</v>
      </c>
      <c r="AK35" s="325">
        <f>Data!DR36/AK$4*100000*AK$3</f>
        <v>4056.959714390036</v>
      </c>
      <c r="AL35" s="333" t="s">
        <v>353</v>
      </c>
      <c r="AM35" s="325">
        <f t="shared" si="4"/>
        <v>35319.772158569038</v>
      </c>
      <c r="AN35" s="325">
        <f>Data!DA36/AN$4*100000*AN$3</f>
        <v>0</v>
      </c>
      <c r="AO35" s="325">
        <f>Data!DB36/AO$4*100000*AO$3</f>
        <v>0</v>
      </c>
      <c r="AP35" s="325">
        <f>Data!DC36/AP$4*100000*AP$3</f>
        <v>0</v>
      </c>
      <c r="AQ35" s="325">
        <f>Data!DD36/AQ$4*100000*AQ$3</f>
        <v>0</v>
      </c>
      <c r="AR35" s="325">
        <f>Data!DE36/AR$4*100000*AR$3</f>
        <v>0</v>
      </c>
      <c r="AS35" s="325">
        <f>Data!DF36/AS$4*100000*AS$3</f>
        <v>0</v>
      </c>
      <c r="AT35" s="325">
        <f>Data!DG36/AT$4*100000*AT$3</f>
        <v>0</v>
      </c>
      <c r="AU35" s="325">
        <f>Data!DH36/AU$4*100000*AU$3</f>
        <v>0</v>
      </c>
      <c r="AV35" s="325">
        <f>Data!DI36/AV$4*100000*AV$3</f>
        <v>0</v>
      </c>
      <c r="AW35" s="325">
        <f>Data!DJ36/AW$4*100000*AW$3</f>
        <v>0</v>
      </c>
      <c r="AX35" s="325">
        <f>Data!DK36/AX$4*100000*AX$3</f>
        <v>0</v>
      </c>
      <c r="AY35" s="325">
        <f>Data!DL36/AY$4*100000*AY$3</f>
        <v>0</v>
      </c>
      <c r="AZ35" s="325">
        <f>Data!DM36/AZ$4*100000*AZ$3</f>
        <v>8181.3812216847509</v>
      </c>
      <c r="BA35" s="325">
        <f>Data!DN36/BA$4*100000*BA$3</f>
        <v>6816.7874752891457</v>
      </c>
      <c r="BB35" s="325">
        <f>Data!DO36/BB$4*100000*BB$3</f>
        <v>4749.8604728486098</v>
      </c>
      <c r="BC35" s="325">
        <f>Data!DP36/BC$4*100000*BC$3</f>
        <v>6171.7727800133316</v>
      </c>
      <c r="BD35" s="325">
        <f>Data!DQ36/BD$4*100000*BD$3</f>
        <v>7371.4903515381848</v>
      </c>
      <c r="BE35" s="325">
        <f>Data!DR36/BE$4*100000*BE$3</f>
        <v>2028.479857195018</v>
      </c>
    </row>
    <row r="36" spans="1:57" ht="12" customHeight="1">
      <c r="A36" s="67"/>
      <c r="B36" s="129" t="str">
        <f>UPPER(LEFT(TRIM(Data!B37),1)) &amp; MID(TRIM(Data!B37),2,50)</f>
        <v>Kitų endokrininių liaukų</v>
      </c>
      <c r="C36" s="129" t="str">
        <f>UPPER(LEFT(TRIM(Data!C37),1)) &amp; MID(TRIM(Data!C37),2,50)</f>
        <v>C74-C75</v>
      </c>
      <c r="D36" s="142">
        <f>Data!BR37</f>
        <v>3</v>
      </c>
      <c r="E36" s="143">
        <f t="shared" si="5"/>
        <v>0.19145131584489383</v>
      </c>
      <c r="F36" s="133">
        <f t="shared" si="6"/>
        <v>0.13610209058946909</v>
      </c>
      <c r="G36" s="133">
        <f t="shared" si="7"/>
        <v>0.10103033977718569</v>
      </c>
      <c r="H36" s="72"/>
      <c r="I36" s="72"/>
      <c r="J36" s="72"/>
      <c r="K36" s="72"/>
      <c r="L36" s="72"/>
      <c r="M36" s="72"/>
      <c r="N36" s="72"/>
      <c r="O36" s="72"/>
      <c r="P36" s="72"/>
      <c r="Q36" s="317"/>
      <c r="R36" s="333" t="s">
        <v>353</v>
      </c>
      <c r="S36" s="325">
        <f t="shared" si="3"/>
        <v>13610.209058946908</v>
      </c>
      <c r="T36" s="325">
        <f>Data!DA37/T$4*100000*T$3</f>
        <v>0</v>
      </c>
      <c r="U36" s="325">
        <f>Data!DB37/U$4*100000*U$3</f>
        <v>0</v>
      </c>
      <c r="V36" s="325">
        <f>Data!DC37/V$4*100000*V$3</f>
        <v>0</v>
      </c>
      <c r="W36" s="325">
        <f>Data!DD37/W$4*100000*W$3</f>
        <v>0</v>
      </c>
      <c r="X36" s="325">
        <f>Data!DE37/X$4*100000*X$3</f>
        <v>0</v>
      </c>
      <c r="Y36" s="325">
        <f>Data!DF37/Y$4*100000*Y$3</f>
        <v>0</v>
      </c>
      <c r="Z36" s="325">
        <f>Data!DG37/Z$4*100000*Z$3</f>
        <v>0</v>
      </c>
      <c r="AA36" s="325">
        <f>Data!DH37/AA$4*100000*AA$3</f>
        <v>0</v>
      </c>
      <c r="AB36" s="325">
        <f>Data!DI37/AB$4*100000*AB$3</f>
        <v>6838.5420228407311</v>
      </c>
      <c r="AC36" s="325">
        <f>Data!DJ37/AC$4*100000*AC$3</f>
        <v>0</v>
      </c>
      <c r="AD36" s="325">
        <f>Data!DK37/AD$4*100000*AD$3</f>
        <v>0</v>
      </c>
      <c r="AE36" s="325">
        <f>Data!DL37/AE$4*100000*AE$3</f>
        <v>5133.5580690976913</v>
      </c>
      <c r="AF36" s="325">
        <f>Data!DM37/AF$4*100000*AF$3</f>
        <v>0</v>
      </c>
      <c r="AG36" s="325">
        <f>Data!DN37/AG$4*100000*AG$3</f>
        <v>0</v>
      </c>
      <c r="AH36" s="325">
        <f>Data!DO37/AH$4*100000*AH$3</f>
        <v>0</v>
      </c>
      <c r="AI36" s="325">
        <f>Data!DP37/AI$4*100000*AI$3</f>
        <v>0</v>
      </c>
      <c r="AJ36" s="325">
        <f>Data!DQ37/AJ$4*100000*AJ$3</f>
        <v>1638.1089670084857</v>
      </c>
      <c r="AK36" s="325">
        <f>Data!DR37/AK$4*100000*AK$3</f>
        <v>0</v>
      </c>
      <c r="AL36" s="333" t="s">
        <v>353</v>
      </c>
      <c r="AM36" s="325">
        <f t="shared" si="4"/>
        <v>10103.033977718569</v>
      </c>
      <c r="AN36" s="325">
        <f>Data!DA37/AN$4*100000*AN$3</f>
        <v>0</v>
      </c>
      <c r="AO36" s="325">
        <f>Data!DB37/AO$4*100000*AO$3</f>
        <v>0</v>
      </c>
      <c r="AP36" s="325">
        <f>Data!DC37/AP$4*100000*AP$3</f>
        <v>0</v>
      </c>
      <c r="AQ36" s="325">
        <f>Data!DD37/AQ$4*100000*AQ$3</f>
        <v>0</v>
      </c>
      <c r="AR36" s="325">
        <f>Data!DE37/AR$4*100000*AR$3</f>
        <v>0</v>
      </c>
      <c r="AS36" s="325">
        <f>Data!DF37/AS$4*100000*AS$3</f>
        <v>0</v>
      </c>
      <c r="AT36" s="325">
        <f>Data!DG37/AT$4*100000*AT$3</f>
        <v>0</v>
      </c>
      <c r="AU36" s="325">
        <f>Data!DH37/AU$4*100000*AU$3</f>
        <v>0</v>
      </c>
      <c r="AV36" s="325">
        <f>Data!DI37/AV$4*100000*AV$3</f>
        <v>5861.6074481491978</v>
      </c>
      <c r="AW36" s="325">
        <f>Data!DJ37/AW$4*100000*AW$3</f>
        <v>0</v>
      </c>
      <c r="AX36" s="325">
        <f>Data!DK37/AX$4*100000*AX$3</f>
        <v>0</v>
      </c>
      <c r="AY36" s="325">
        <f>Data!DL37/AY$4*100000*AY$3</f>
        <v>3422.3720460651275</v>
      </c>
      <c r="AZ36" s="325">
        <f>Data!DM37/AZ$4*100000*AZ$3</f>
        <v>0</v>
      </c>
      <c r="BA36" s="325">
        <f>Data!DN37/BA$4*100000*BA$3</f>
        <v>0</v>
      </c>
      <c r="BB36" s="325">
        <f>Data!DO37/BB$4*100000*BB$3</f>
        <v>0</v>
      </c>
      <c r="BC36" s="325">
        <f>Data!DP37/BC$4*100000*BC$3</f>
        <v>0</v>
      </c>
      <c r="BD36" s="325">
        <f>Data!DQ37/BD$4*100000*BD$3</f>
        <v>819.05448350424285</v>
      </c>
      <c r="BE36" s="325">
        <f>Data!DR37/BE$4*100000*BE$3</f>
        <v>0</v>
      </c>
    </row>
    <row r="37" spans="1:57" ht="12" customHeight="1">
      <c r="A37" s="67"/>
      <c r="B37" s="151" t="str">
        <f>UPPER(LEFT(TRIM(Data!B38),1)) &amp; MID(TRIM(Data!B38),2,50)</f>
        <v>Nepatikslintos lokalizacijos</v>
      </c>
      <c r="C37" s="145" t="str">
        <f>UPPER(LEFT(TRIM(Data!C38),1)) &amp; MID(TRIM(Data!C38),2,50)</f>
        <v>C76-C80</v>
      </c>
      <c r="D37" s="152">
        <f>Data!BR38</f>
        <v>194</v>
      </c>
      <c r="E37" s="153">
        <f t="shared" si="5"/>
        <v>12.380518424636467</v>
      </c>
      <c r="F37" s="154">
        <f t="shared" si="6"/>
        <v>5.7615735737259755</v>
      </c>
      <c r="G37" s="154">
        <f t="shared" si="7"/>
        <v>3.6670373924196653</v>
      </c>
      <c r="H37" s="72"/>
      <c r="I37" s="72"/>
      <c r="J37" s="72"/>
      <c r="K37" s="72"/>
      <c r="L37" s="72"/>
      <c r="M37" s="72"/>
      <c r="N37" s="72"/>
      <c r="O37" s="72"/>
      <c r="P37" s="72"/>
      <c r="Q37" s="317"/>
      <c r="R37" s="333" t="s">
        <v>353</v>
      </c>
      <c r="S37" s="325">
        <f t="shared" si="3"/>
        <v>576157.35737259756</v>
      </c>
      <c r="T37" s="325">
        <f>Data!DA38/T$4*100000*T$3</f>
        <v>0</v>
      </c>
      <c r="U37" s="325">
        <f>Data!DB38/U$4*100000*U$3</f>
        <v>0</v>
      </c>
      <c r="V37" s="325">
        <f>Data!DC38/V$4*100000*V$3</f>
        <v>0</v>
      </c>
      <c r="W37" s="325">
        <f>Data!DD38/W$4*100000*W$3</f>
        <v>0</v>
      </c>
      <c r="X37" s="325">
        <f>Data!DE38/X$4*100000*X$3</f>
        <v>0</v>
      </c>
      <c r="Y37" s="325">
        <f>Data!DF38/Y$4*100000*Y$3</f>
        <v>0</v>
      </c>
      <c r="Z37" s="325">
        <f>Data!DG38/Z$4*100000*Z$3</f>
        <v>7974.299970381172</v>
      </c>
      <c r="AA37" s="325">
        <f>Data!DH38/AA$4*100000*AA$3</f>
        <v>0</v>
      </c>
      <c r="AB37" s="325">
        <f>Data!DI38/AB$4*100000*AB$3</f>
        <v>20515.62606852219</v>
      </c>
      <c r="AC37" s="325">
        <f>Data!DJ38/AC$4*100000*AC$3</f>
        <v>19295.972654850182</v>
      </c>
      <c r="AD37" s="325">
        <f>Data!DK38/AD$4*100000*AD$3</f>
        <v>23439.592820787573</v>
      </c>
      <c r="AE37" s="325">
        <f>Data!DL38/AE$4*100000*AE$3</f>
        <v>35934.906483683844</v>
      </c>
      <c r="AF37" s="325">
        <f>Data!DM38/AF$4*100000*AF$3</f>
        <v>71587.08568974158</v>
      </c>
      <c r="AG37" s="325">
        <f>Data!DN38/AG$4*100000*AG$3</f>
        <v>54534.299802313173</v>
      </c>
      <c r="AH37" s="325">
        <f>Data!DO38/AH$4*100000*AH$3</f>
        <v>92622.279220547905</v>
      </c>
      <c r="AI37" s="325">
        <f>Data!DP38/AI$4*100000*AI$3</f>
        <v>91342.237144197294</v>
      </c>
      <c r="AJ37" s="325">
        <f>Data!DQ38/AJ$4*100000*AJ$3</f>
        <v>73714.903515381855</v>
      </c>
      <c r="AK37" s="325">
        <f>Data!DR38/AK$4*100000*AK$3</f>
        <v>85196.154002190757</v>
      </c>
      <c r="AL37" s="333" t="s">
        <v>353</v>
      </c>
      <c r="AM37" s="325">
        <f t="shared" si="4"/>
        <v>366703.73924196651</v>
      </c>
      <c r="AN37" s="325">
        <f>Data!DA38/AN$4*100000*AN$3</f>
        <v>0</v>
      </c>
      <c r="AO37" s="325">
        <f>Data!DB38/AO$4*100000*AO$3</f>
        <v>0</v>
      </c>
      <c r="AP37" s="325">
        <f>Data!DC38/AP$4*100000*AP$3</f>
        <v>0</v>
      </c>
      <c r="AQ37" s="325">
        <f>Data!DD38/AQ$4*100000*AQ$3</f>
        <v>0</v>
      </c>
      <c r="AR37" s="325">
        <f>Data!DE38/AR$4*100000*AR$3</f>
        <v>0</v>
      </c>
      <c r="AS37" s="325">
        <f>Data!DF38/AS$4*100000*AS$3</f>
        <v>0</v>
      </c>
      <c r="AT37" s="325">
        <f>Data!DG38/AT$4*100000*AT$3</f>
        <v>6835.114260326719</v>
      </c>
      <c r="AU37" s="325">
        <f>Data!DH38/AU$4*100000*AU$3</f>
        <v>0</v>
      </c>
      <c r="AV37" s="325">
        <f>Data!DI38/AV$4*100000*AV$3</f>
        <v>17584.822344447592</v>
      </c>
      <c r="AW37" s="325">
        <f>Data!DJ38/AW$4*100000*AW$3</f>
        <v>16539.405132728727</v>
      </c>
      <c r="AX37" s="325">
        <f>Data!DK38/AX$4*100000*AX$3</f>
        <v>16742.56630056255</v>
      </c>
      <c r="AY37" s="325">
        <f>Data!DL38/AY$4*100000*AY$3</f>
        <v>23956.604322455896</v>
      </c>
      <c r="AZ37" s="325">
        <f>Data!DM38/AZ$4*100000*AZ$3</f>
        <v>57269.668551793256</v>
      </c>
      <c r="BA37" s="325">
        <f>Data!DN38/BA$4*100000*BA$3</f>
        <v>40900.724851734878</v>
      </c>
      <c r="BB37" s="325">
        <f>Data!DO38/BB$4*100000*BB$3</f>
        <v>61748.186147031935</v>
      </c>
      <c r="BC37" s="325">
        <f>Data!DP38/BC$4*100000*BC$3</f>
        <v>45671.118572098647</v>
      </c>
      <c r="BD37" s="325">
        <f>Data!DQ38/BD$4*100000*BD$3</f>
        <v>36857.451757690927</v>
      </c>
      <c r="BE37" s="325">
        <f>Data!DR38/BE$4*100000*BE$3</f>
        <v>42598.077001095378</v>
      </c>
    </row>
    <row r="38" spans="1:57" ht="12" customHeight="1">
      <c r="A38" s="67"/>
      <c r="B38" s="129" t="str">
        <f>UPPER(LEFT(TRIM(Data!B39),1)) &amp; MID(TRIM(Data!B39),2,50)</f>
        <v>Hodžkino limfomos</v>
      </c>
      <c r="C38" s="129" t="str">
        <f>UPPER(LEFT(TRIM(Data!C39),1)) &amp; MID(TRIM(Data!C39),2,50)</f>
        <v>C81</v>
      </c>
      <c r="D38" s="142">
        <f>Data!BR39</f>
        <v>8</v>
      </c>
      <c r="E38" s="143">
        <f t="shared" si="5"/>
        <v>0.51053684225305007</v>
      </c>
      <c r="F38" s="133">
        <f t="shared" si="6"/>
        <v>0.4081609323359216</v>
      </c>
      <c r="G38" s="133">
        <f t="shared" si="7"/>
        <v>0.32565564905329725</v>
      </c>
      <c r="H38" s="72"/>
      <c r="I38" s="72"/>
      <c r="J38" s="72"/>
      <c r="K38" s="72"/>
      <c r="L38" s="72"/>
      <c r="M38" s="72"/>
      <c r="N38" s="72"/>
      <c r="O38" s="72"/>
      <c r="P38" s="72"/>
      <c r="Q38" s="317"/>
      <c r="R38" s="333" t="s">
        <v>353</v>
      </c>
      <c r="S38" s="325">
        <f t="shared" si="3"/>
        <v>40816.093233592161</v>
      </c>
      <c r="T38" s="325">
        <f>Data!DA39/T$4*100000*T$3</f>
        <v>0</v>
      </c>
      <c r="U38" s="325">
        <f>Data!DB39/U$4*100000*U$3</f>
        <v>0</v>
      </c>
      <c r="V38" s="325">
        <f>Data!DC39/V$4*100000*V$3</f>
        <v>0</v>
      </c>
      <c r="W38" s="325">
        <f>Data!DD39/W$4*100000*W$3</f>
        <v>0</v>
      </c>
      <c r="X38" s="325">
        <f>Data!DE39/X$4*100000*X$3</f>
        <v>0</v>
      </c>
      <c r="Y38" s="325">
        <f>Data!DF39/Y$4*100000*Y$3</f>
        <v>0</v>
      </c>
      <c r="Z38" s="325">
        <f>Data!DG39/Z$4*100000*Z$3</f>
        <v>7974.299970381172</v>
      </c>
      <c r="AA38" s="325">
        <f>Data!DH39/AA$4*100000*AA$3</f>
        <v>0</v>
      </c>
      <c r="AB38" s="325">
        <f>Data!DI39/AB$4*100000*AB$3</f>
        <v>13677.084045681462</v>
      </c>
      <c r="AC38" s="325">
        <f>Data!DJ39/AC$4*100000*AC$3</f>
        <v>6431.9908849500598</v>
      </c>
      <c r="AD38" s="325">
        <f>Data!DK39/AD$4*100000*AD$3</f>
        <v>0</v>
      </c>
      <c r="AE38" s="325">
        <f>Data!DL39/AE$4*100000*AE$3</f>
        <v>0</v>
      </c>
      <c r="AF38" s="325">
        <f>Data!DM39/AF$4*100000*AF$3</f>
        <v>5113.3632635529693</v>
      </c>
      <c r="AG38" s="325">
        <f>Data!DN39/AG$4*100000*AG$3</f>
        <v>0</v>
      </c>
      <c r="AH38" s="325">
        <f>Data!DO39/AH$4*100000*AH$3</f>
        <v>3562.3953546364573</v>
      </c>
      <c r="AI38" s="325">
        <f>Data!DP39/AI$4*100000*AI$3</f>
        <v>0</v>
      </c>
      <c r="AJ38" s="325">
        <f>Data!DQ39/AJ$4*100000*AJ$3</f>
        <v>0</v>
      </c>
      <c r="AK38" s="325">
        <f>Data!DR39/AK$4*100000*AK$3</f>
        <v>4056.959714390036</v>
      </c>
      <c r="AL38" s="333" t="s">
        <v>353</v>
      </c>
      <c r="AM38" s="325">
        <f t="shared" si="4"/>
        <v>32565.564905329724</v>
      </c>
      <c r="AN38" s="325">
        <f>Data!DA39/AN$4*100000*AN$3</f>
        <v>0</v>
      </c>
      <c r="AO38" s="325">
        <f>Data!DB39/AO$4*100000*AO$3</f>
        <v>0</v>
      </c>
      <c r="AP38" s="325">
        <f>Data!DC39/AP$4*100000*AP$3</f>
        <v>0</v>
      </c>
      <c r="AQ38" s="325">
        <f>Data!DD39/AQ$4*100000*AQ$3</f>
        <v>0</v>
      </c>
      <c r="AR38" s="325">
        <f>Data!DE39/AR$4*100000*AR$3</f>
        <v>0</v>
      </c>
      <c r="AS38" s="325">
        <f>Data!DF39/AS$4*100000*AS$3</f>
        <v>0</v>
      </c>
      <c r="AT38" s="325">
        <f>Data!DG39/AT$4*100000*AT$3</f>
        <v>6835.114260326719</v>
      </c>
      <c r="AU38" s="325">
        <f>Data!DH39/AU$4*100000*AU$3</f>
        <v>0</v>
      </c>
      <c r="AV38" s="325">
        <f>Data!DI39/AV$4*100000*AV$3</f>
        <v>11723.214896298396</v>
      </c>
      <c r="AW38" s="325">
        <f>Data!DJ39/AW$4*100000*AW$3</f>
        <v>5513.1350442429084</v>
      </c>
      <c r="AX38" s="325">
        <f>Data!DK39/AX$4*100000*AX$3</f>
        <v>0</v>
      </c>
      <c r="AY38" s="325">
        <f>Data!DL39/AY$4*100000*AY$3</f>
        <v>0</v>
      </c>
      <c r="AZ38" s="325">
        <f>Data!DM39/AZ$4*100000*AZ$3</f>
        <v>4090.6906108423755</v>
      </c>
      <c r="BA38" s="325">
        <f>Data!DN39/BA$4*100000*BA$3</f>
        <v>0</v>
      </c>
      <c r="BB38" s="325">
        <f>Data!DO39/BB$4*100000*BB$3</f>
        <v>2374.9302364243049</v>
      </c>
      <c r="BC38" s="325">
        <f>Data!DP39/BC$4*100000*BC$3</f>
        <v>0</v>
      </c>
      <c r="BD38" s="325">
        <f>Data!DQ39/BD$4*100000*BD$3</f>
        <v>0</v>
      </c>
      <c r="BE38" s="325">
        <f>Data!DR39/BE$4*100000*BE$3</f>
        <v>2028.479857195018</v>
      </c>
    </row>
    <row r="39" spans="1:57" ht="12" customHeight="1">
      <c r="A39" s="67"/>
      <c r="B39" s="151" t="str">
        <f>UPPER(LEFT(TRIM(Data!B40),1)) &amp; MID(TRIM(Data!B40),2,50)</f>
        <v>Ne Hodžkino limfomos</v>
      </c>
      <c r="C39" s="145" t="str">
        <f>UPPER(LEFT(TRIM(Data!C40),1)) &amp; MID(TRIM(Data!C40),2,50)</f>
        <v>C82-C85</v>
      </c>
      <c r="D39" s="152">
        <f>Data!BR40</f>
        <v>94</v>
      </c>
      <c r="E39" s="153">
        <f t="shared" si="5"/>
        <v>5.9988078964733385</v>
      </c>
      <c r="F39" s="154">
        <f t="shared" si="6"/>
        <v>2.7079394072502248</v>
      </c>
      <c r="G39" s="154">
        <f t="shared" si="7"/>
        <v>1.7021819777800655</v>
      </c>
      <c r="H39" s="72"/>
      <c r="I39" s="72"/>
      <c r="J39" s="72"/>
      <c r="K39" s="72"/>
      <c r="L39" s="72"/>
      <c r="M39" s="72"/>
      <c r="N39" s="72"/>
      <c r="O39" s="72"/>
      <c r="P39" s="72"/>
      <c r="Q39" s="317"/>
      <c r="R39" s="333" t="s">
        <v>353</v>
      </c>
      <c r="S39" s="325">
        <f t="shared" si="3"/>
        <v>270793.94072502246</v>
      </c>
      <c r="T39" s="325">
        <f>Data!DA40/T$4*100000*T$3</f>
        <v>0</v>
      </c>
      <c r="U39" s="325">
        <f>Data!DB40/U$4*100000*U$3</f>
        <v>0</v>
      </c>
      <c r="V39" s="325">
        <f>Data!DC40/V$4*100000*V$3</f>
        <v>0</v>
      </c>
      <c r="W39" s="325">
        <f>Data!DD40/W$4*100000*W$3</f>
        <v>0</v>
      </c>
      <c r="X39" s="325">
        <f>Data!DE40/X$4*100000*X$3</f>
        <v>0</v>
      </c>
      <c r="Y39" s="325">
        <f>Data!DF40/Y$4*100000*Y$3</f>
        <v>0</v>
      </c>
      <c r="Z39" s="325">
        <f>Data!DG40/Z$4*100000*Z$3</f>
        <v>0</v>
      </c>
      <c r="AA39" s="325">
        <f>Data!DH40/AA$4*100000*AA$3</f>
        <v>15696.299036919936</v>
      </c>
      <c r="AB39" s="325">
        <f>Data!DI40/AB$4*100000*AB$3</f>
        <v>0</v>
      </c>
      <c r="AC39" s="325">
        <f>Data!DJ40/AC$4*100000*AC$3</f>
        <v>0</v>
      </c>
      <c r="AD39" s="325">
        <f>Data!DK40/AD$4*100000*AD$3</f>
        <v>11719.796410393787</v>
      </c>
      <c r="AE39" s="325">
        <f>Data!DL40/AE$4*100000*AE$3</f>
        <v>15400.674207293074</v>
      </c>
      <c r="AF39" s="325">
        <f>Data!DM40/AF$4*100000*AF$3</f>
        <v>35793.54284487079</v>
      </c>
      <c r="AG39" s="325">
        <f>Data!DN40/AG$4*100000*AG$3</f>
        <v>22722.624917630488</v>
      </c>
      <c r="AH39" s="325">
        <f>Data!DO40/AH$4*100000*AH$3</f>
        <v>46311.139610273953</v>
      </c>
      <c r="AI39" s="325">
        <f>Data!DP40/AI$4*100000*AI$3</f>
        <v>44436.764016095978</v>
      </c>
      <c r="AJ39" s="325">
        <f>Data!DQ40/AJ$4*100000*AJ$3</f>
        <v>44228.942109229101</v>
      </c>
      <c r="AK39" s="325">
        <f>Data!DR40/AK$4*100000*AK$3</f>
        <v>34484.157572315307</v>
      </c>
      <c r="AL39" s="333" t="s">
        <v>353</v>
      </c>
      <c r="AM39" s="325">
        <f t="shared" si="4"/>
        <v>170218.19777800655</v>
      </c>
      <c r="AN39" s="325">
        <f>Data!DA40/AN$4*100000*AN$3</f>
        <v>0</v>
      </c>
      <c r="AO39" s="325">
        <f>Data!DB40/AO$4*100000*AO$3</f>
        <v>0</v>
      </c>
      <c r="AP39" s="325">
        <f>Data!DC40/AP$4*100000*AP$3</f>
        <v>0</v>
      </c>
      <c r="AQ39" s="325">
        <f>Data!DD40/AQ$4*100000*AQ$3</f>
        <v>0</v>
      </c>
      <c r="AR39" s="325">
        <f>Data!DE40/AR$4*100000*AR$3</f>
        <v>0</v>
      </c>
      <c r="AS39" s="325">
        <f>Data!DF40/AS$4*100000*AS$3</f>
        <v>0</v>
      </c>
      <c r="AT39" s="325">
        <f>Data!DG40/AT$4*100000*AT$3</f>
        <v>0</v>
      </c>
      <c r="AU39" s="325">
        <f>Data!DH40/AU$4*100000*AU$3</f>
        <v>13453.970603074231</v>
      </c>
      <c r="AV39" s="325">
        <f>Data!DI40/AV$4*100000*AV$3</f>
        <v>0</v>
      </c>
      <c r="AW39" s="325">
        <f>Data!DJ40/AW$4*100000*AW$3</f>
        <v>0</v>
      </c>
      <c r="AX39" s="325">
        <f>Data!DK40/AX$4*100000*AX$3</f>
        <v>8371.2831502812751</v>
      </c>
      <c r="AY39" s="325">
        <f>Data!DL40/AY$4*100000*AY$3</f>
        <v>10267.116138195383</v>
      </c>
      <c r="AZ39" s="325">
        <f>Data!DM40/AZ$4*100000*AZ$3</f>
        <v>28634.834275896628</v>
      </c>
      <c r="BA39" s="325">
        <f>Data!DN40/BA$4*100000*BA$3</f>
        <v>17041.968688222863</v>
      </c>
      <c r="BB39" s="325">
        <f>Data!DO40/BB$4*100000*BB$3</f>
        <v>30874.093073515967</v>
      </c>
      <c r="BC39" s="325">
        <f>Data!DP40/BC$4*100000*BC$3</f>
        <v>22218.382008047989</v>
      </c>
      <c r="BD39" s="325">
        <f>Data!DQ40/BD$4*100000*BD$3</f>
        <v>22114.471054614551</v>
      </c>
      <c r="BE39" s="325">
        <f>Data!DR40/BE$4*100000*BE$3</f>
        <v>17242.078786157654</v>
      </c>
    </row>
    <row r="40" spans="1:57" ht="12" customHeight="1">
      <c r="A40" s="67"/>
      <c r="B40" s="129" t="str">
        <f>UPPER(LEFT(TRIM(Data!B41),1)) &amp; MID(TRIM(Data!B41),2,50)</f>
        <v>Mielominės ligos</v>
      </c>
      <c r="C40" s="129" t="str">
        <f>UPPER(LEFT(TRIM(Data!C41),1)) &amp; MID(TRIM(Data!C41),2,50)</f>
        <v>C90</v>
      </c>
      <c r="D40" s="142">
        <f>Data!BR41</f>
        <v>61</v>
      </c>
      <c r="E40" s="143">
        <f t="shared" si="5"/>
        <v>3.8928434221795074</v>
      </c>
      <c r="F40" s="133">
        <f t="shared" si="6"/>
        <v>2.0022216803763757</v>
      </c>
      <c r="G40" s="133">
        <f t="shared" si="7"/>
        <v>1.2996094524411252</v>
      </c>
      <c r="H40" s="72"/>
      <c r="I40" s="72"/>
      <c r="J40" s="72"/>
      <c r="K40" s="72"/>
      <c r="L40" s="72"/>
      <c r="M40" s="72"/>
      <c r="N40" s="72"/>
      <c r="O40" s="72"/>
      <c r="P40" s="72"/>
      <c r="Q40" s="317"/>
      <c r="R40" s="333" t="s">
        <v>353</v>
      </c>
      <c r="S40" s="325">
        <f t="shared" si="3"/>
        <v>200222.16803763757</v>
      </c>
      <c r="T40" s="325">
        <f>Data!DA41/T$4*100000*T$3</f>
        <v>0</v>
      </c>
      <c r="U40" s="325">
        <f>Data!DB41/U$4*100000*U$3</f>
        <v>0</v>
      </c>
      <c r="V40" s="325">
        <f>Data!DC41/V$4*100000*V$3</f>
        <v>0</v>
      </c>
      <c r="W40" s="325">
        <f>Data!DD41/W$4*100000*W$3</f>
        <v>0</v>
      </c>
      <c r="X40" s="325">
        <f>Data!DE41/X$4*100000*X$3</f>
        <v>0</v>
      </c>
      <c r="Y40" s="325">
        <f>Data!DF41/Y$4*100000*Y$3</f>
        <v>0</v>
      </c>
      <c r="Z40" s="325">
        <f>Data!DG41/Z$4*100000*Z$3</f>
        <v>0</v>
      </c>
      <c r="AA40" s="325">
        <f>Data!DH41/AA$4*100000*AA$3</f>
        <v>0</v>
      </c>
      <c r="AB40" s="325">
        <f>Data!DI41/AB$4*100000*AB$3</f>
        <v>0</v>
      </c>
      <c r="AC40" s="325">
        <f>Data!DJ41/AC$4*100000*AC$3</f>
        <v>0</v>
      </c>
      <c r="AD40" s="325">
        <f>Data!DK41/AD$4*100000*AD$3</f>
        <v>0</v>
      </c>
      <c r="AE40" s="325">
        <f>Data!DL41/AE$4*100000*AE$3</f>
        <v>25667.790345488458</v>
      </c>
      <c r="AF40" s="325">
        <f>Data!DM41/AF$4*100000*AF$3</f>
        <v>30680.179581317818</v>
      </c>
      <c r="AG40" s="325">
        <f>Data!DN41/AG$4*100000*AG$3</f>
        <v>22722.624917630488</v>
      </c>
      <c r="AH40" s="325">
        <f>Data!DO41/AH$4*100000*AH$3</f>
        <v>64123.116383456232</v>
      </c>
      <c r="AI40" s="325">
        <f>Data!DP41/AI$4*100000*AI$3</f>
        <v>34561.92756807465</v>
      </c>
      <c r="AJ40" s="325">
        <f>Data!DQ41/AJ$4*100000*AJ$3</f>
        <v>16381.089670084855</v>
      </c>
      <c r="AK40" s="325">
        <f>Data!DR41/AK$4*100000*AK$3</f>
        <v>6085.4395715850542</v>
      </c>
      <c r="AL40" s="333" t="s">
        <v>353</v>
      </c>
      <c r="AM40" s="325">
        <f t="shared" si="4"/>
        <v>129960.94524411253</v>
      </c>
      <c r="AN40" s="325">
        <f>Data!DA41/AN$4*100000*AN$3</f>
        <v>0</v>
      </c>
      <c r="AO40" s="325">
        <f>Data!DB41/AO$4*100000*AO$3</f>
        <v>0</v>
      </c>
      <c r="AP40" s="325">
        <f>Data!DC41/AP$4*100000*AP$3</f>
        <v>0</v>
      </c>
      <c r="AQ40" s="325">
        <f>Data!DD41/AQ$4*100000*AQ$3</f>
        <v>0</v>
      </c>
      <c r="AR40" s="325">
        <f>Data!DE41/AR$4*100000*AR$3</f>
        <v>0</v>
      </c>
      <c r="AS40" s="325">
        <f>Data!DF41/AS$4*100000*AS$3</f>
        <v>0</v>
      </c>
      <c r="AT40" s="325">
        <f>Data!DG41/AT$4*100000*AT$3</f>
        <v>0</v>
      </c>
      <c r="AU40" s="325">
        <f>Data!DH41/AU$4*100000*AU$3</f>
        <v>0</v>
      </c>
      <c r="AV40" s="325">
        <f>Data!DI41/AV$4*100000*AV$3</f>
        <v>0</v>
      </c>
      <c r="AW40" s="325">
        <f>Data!DJ41/AW$4*100000*AW$3</f>
        <v>0</v>
      </c>
      <c r="AX40" s="325">
        <f>Data!DK41/AX$4*100000*AX$3</f>
        <v>0</v>
      </c>
      <c r="AY40" s="325">
        <f>Data!DL41/AY$4*100000*AY$3</f>
        <v>17111.860230325641</v>
      </c>
      <c r="AZ40" s="325">
        <f>Data!DM41/AZ$4*100000*AZ$3</f>
        <v>24544.143665054253</v>
      </c>
      <c r="BA40" s="325">
        <f>Data!DN41/BA$4*100000*BA$3</f>
        <v>17041.968688222863</v>
      </c>
      <c r="BB40" s="325">
        <f>Data!DO41/BB$4*100000*BB$3</f>
        <v>42748.744255637488</v>
      </c>
      <c r="BC40" s="325">
        <f>Data!DP41/BC$4*100000*BC$3</f>
        <v>17280.963784037325</v>
      </c>
      <c r="BD40" s="325">
        <f>Data!DQ41/BD$4*100000*BD$3</f>
        <v>8190.5448350424276</v>
      </c>
      <c r="BE40" s="325">
        <f>Data!DR41/BE$4*100000*BE$3</f>
        <v>3042.7197857925271</v>
      </c>
    </row>
    <row r="41" spans="1:57" ht="12" customHeight="1">
      <c r="A41" s="67"/>
      <c r="B41" s="151" t="str">
        <f>UPPER(LEFT(TRIM(Data!B42),1)) &amp; MID(TRIM(Data!B42),2,50)</f>
        <v>Leukemijos</v>
      </c>
      <c r="C41" s="145" t="str">
        <f>UPPER(LEFT(TRIM(Data!C42),1)) &amp; MID(TRIM(Data!C42),2,50)</f>
        <v>C91-C95</v>
      </c>
      <c r="D41" s="152">
        <f>Data!BR42</f>
        <v>114</v>
      </c>
      <c r="E41" s="153">
        <f t="shared" si="5"/>
        <v>7.2751500021059643</v>
      </c>
      <c r="F41" s="154">
        <f t="shared" si="6"/>
        <v>4.0558544155767908</v>
      </c>
      <c r="G41" s="154">
        <f t="shared" si="7"/>
        <v>2.8523685964438892</v>
      </c>
      <c r="H41" s="72"/>
      <c r="I41" s="72"/>
      <c r="J41" s="72"/>
      <c r="K41" s="72"/>
      <c r="L41" s="72"/>
      <c r="M41" s="72"/>
      <c r="N41" s="72"/>
      <c r="O41" s="72"/>
      <c r="P41" s="72"/>
      <c r="Q41" s="317"/>
      <c r="R41" s="333" t="s">
        <v>353</v>
      </c>
      <c r="S41" s="325">
        <f t="shared" si="3"/>
        <v>405585.44155767909</v>
      </c>
      <c r="T41" s="325">
        <f>Data!DA42/T$4*100000*T$3</f>
        <v>10873.554157095674</v>
      </c>
      <c r="U41" s="325">
        <f>Data!DB42/U$4*100000*U$3</f>
        <v>0</v>
      </c>
      <c r="V41" s="325">
        <f>Data!DC42/V$4*100000*V$3</f>
        <v>0</v>
      </c>
      <c r="W41" s="325">
        <f>Data!DD42/W$4*100000*W$3</f>
        <v>8661.0081413476546</v>
      </c>
      <c r="X41" s="325">
        <f>Data!DE42/X$4*100000*X$3</f>
        <v>0</v>
      </c>
      <c r="Y41" s="325">
        <f>Data!DF42/Y$4*100000*Y$3</f>
        <v>0</v>
      </c>
      <c r="Z41" s="325">
        <f>Data!DG42/Z$4*100000*Z$3</f>
        <v>0</v>
      </c>
      <c r="AA41" s="325">
        <f>Data!DH42/AA$4*100000*AA$3</f>
        <v>0</v>
      </c>
      <c r="AB41" s="325">
        <f>Data!DI42/AB$4*100000*AB$3</f>
        <v>20515.62606852219</v>
      </c>
      <c r="AC41" s="325">
        <f>Data!DJ42/AC$4*100000*AC$3</f>
        <v>12863.98176990012</v>
      </c>
      <c r="AD41" s="325">
        <f>Data!DK42/AD$4*100000*AD$3</f>
        <v>46879.185641575146</v>
      </c>
      <c r="AE41" s="325">
        <f>Data!DL42/AE$4*100000*AE$3</f>
        <v>41068.46455278153</v>
      </c>
      <c r="AF41" s="325">
        <f>Data!DM42/AF$4*100000*AF$3</f>
        <v>56246.995899082656</v>
      </c>
      <c r="AG41" s="325">
        <f>Data!DN42/AG$4*100000*AG$3</f>
        <v>45445.249835260976</v>
      </c>
      <c r="AH41" s="325">
        <f>Data!DO42/AH$4*100000*AH$3</f>
        <v>46311.139610273953</v>
      </c>
      <c r="AI41" s="325">
        <f>Data!DP42/AI$4*100000*AI$3</f>
        <v>54311.600464117313</v>
      </c>
      <c r="AJ41" s="325">
        <f>Data!DQ42/AJ$4*100000*AJ$3</f>
        <v>36038.397274186682</v>
      </c>
      <c r="AK41" s="325">
        <f>Data!DR42/AK$4*100000*AK$3</f>
        <v>26370.238143535236</v>
      </c>
      <c r="AL41" s="333" t="s">
        <v>353</v>
      </c>
      <c r="AM41" s="325">
        <f t="shared" si="4"/>
        <v>285236.8596443889</v>
      </c>
      <c r="AN41" s="325">
        <f>Data!DA42/AN$4*100000*AN$3</f>
        <v>16310.331235643511</v>
      </c>
      <c r="AO41" s="325">
        <f>Data!DB42/AO$4*100000*AO$3</f>
        <v>0</v>
      </c>
      <c r="AP41" s="325">
        <f>Data!DC42/AP$4*100000*AP$3</f>
        <v>0</v>
      </c>
      <c r="AQ41" s="325">
        <f>Data!DD42/AQ$4*100000*AQ$3</f>
        <v>11135.581896018411</v>
      </c>
      <c r="AR41" s="325">
        <f>Data!DE42/AR$4*100000*AR$3</f>
        <v>0</v>
      </c>
      <c r="AS41" s="325">
        <f>Data!DF42/AS$4*100000*AS$3</f>
        <v>0</v>
      </c>
      <c r="AT41" s="325">
        <f>Data!DG42/AT$4*100000*AT$3</f>
        <v>0</v>
      </c>
      <c r="AU41" s="325">
        <f>Data!DH42/AU$4*100000*AU$3</f>
        <v>0</v>
      </c>
      <c r="AV41" s="325">
        <f>Data!DI42/AV$4*100000*AV$3</f>
        <v>17584.822344447592</v>
      </c>
      <c r="AW41" s="325">
        <f>Data!DJ42/AW$4*100000*AW$3</f>
        <v>11026.270088485817</v>
      </c>
      <c r="AX41" s="325">
        <f>Data!DK42/AX$4*100000*AX$3</f>
        <v>33485.1326011251</v>
      </c>
      <c r="AY41" s="325">
        <f>Data!DL42/AY$4*100000*AY$3</f>
        <v>27378.97636852102</v>
      </c>
      <c r="AZ41" s="325">
        <f>Data!DM42/AZ$4*100000*AZ$3</f>
        <v>44997.596719266126</v>
      </c>
      <c r="BA41" s="325">
        <f>Data!DN42/BA$4*100000*BA$3</f>
        <v>34083.937376445727</v>
      </c>
      <c r="BB41" s="325">
        <f>Data!DO42/BB$4*100000*BB$3</f>
        <v>30874.093073515967</v>
      </c>
      <c r="BC41" s="325">
        <f>Data!DP42/BC$4*100000*BC$3</f>
        <v>27155.800232058657</v>
      </c>
      <c r="BD41" s="325">
        <f>Data!DQ42/BD$4*100000*BD$3</f>
        <v>18019.198637093341</v>
      </c>
      <c r="BE41" s="325">
        <f>Data!DR42/BE$4*100000*BE$3</f>
        <v>13185.119071767618</v>
      </c>
    </row>
    <row r="42" spans="1:57" ht="12" customHeight="1">
      <c r="A42" s="67"/>
      <c r="B42" s="129" t="str">
        <f>UPPER(LEFT(TRIM(Data!B43),1)) &amp; MID(TRIM(Data!B43),2,50)</f>
        <v>Kiti limfinio, kraujodaros audinių</v>
      </c>
      <c r="C42" s="129" t="str">
        <f>UPPER(LEFT(TRIM(Data!C43),1)) &amp; MID(TRIM(Data!C43),2,50)</f>
        <v>C88, C96</v>
      </c>
      <c r="D42" s="142">
        <f>Data!BR43</f>
        <v>1</v>
      </c>
      <c r="E42" s="143">
        <f t="shared" si="5"/>
        <v>6.3817105281631259E-2</v>
      </c>
      <c r="F42" s="133">
        <f t="shared" si="6"/>
        <v>5.859898205196893E-2</v>
      </c>
      <c r="G42" s="133">
        <f t="shared" si="7"/>
        <v>4.1856415751406376E-2</v>
      </c>
      <c r="H42" s="72"/>
      <c r="I42" s="72"/>
      <c r="J42" s="72"/>
      <c r="K42" s="72"/>
      <c r="L42" s="72"/>
      <c r="M42" s="72"/>
      <c r="N42" s="72"/>
      <c r="O42" s="72"/>
      <c r="P42" s="72"/>
      <c r="Q42" s="317"/>
      <c r="R42" s="333" t="s">
        <v>353</v>
      </c>
      <c r="S42" s="325">
        <f t="shared" si="3"/>
        <v>5859.8982051968933</v>
      </c>
      <c r="T42" s="325">
        <f>Data!DA43/T$4*100000*T$3</f>
        <v>0</v>
      </c>
      <c r="U42" s="325">
        <f>Data!DB43/U$4*100000*U$3</f>
        <v>0</v>
      </c>
      <c r="V42" s="325">
        <f>Data!DC43/V$4*100000*V$3</f>
        <v>0</v>
      </c>
      <c r="W42" s="325">
        <f>Data!DD43/W$4*100000*W$3</f>
        <v>0</v>
      </c>
      <c r="X42" s="325">
        <f>Data!DE43/X$4*100000*X$3</f>
        <v>0</v>
      </c>
      <c r="Y42" s="325">
        <f>Data!DF43/Y$4*100000*Y$3</f>
        <v>0</v>
      </c>
      <c r="Z42" s="325">
        <f>Data!DG43/Z$4*100000*Z$3</f>
        <v>0</v>
      </c>
      <c r="AA42" s="325">
        <f>Data!DH43/AA$4*100000*AA$3</f>
        <v>0</v>
      </c>
      <c r="AB42" s="325">
        <f>Data!DI43/AB$4*100000*AB$3</f>
        <v>0</v>
      </c>
      <c r="AC42" s="325">
        <f>Data!DJ43/AC$4*100000*AC$3</f>
        <v>0</v>
      </c>
      <c r="AD42" s="325">
        <f>Data!DK43/AD$4*100000*AD$3</f>
        <v>5859.8982051968933</v>
      </c>
      <c r="AE42" s="325">
        <f>Data!DL43/AE$4*100000*AE$3</f>
        <v>0</v>
      </c>
      <c r="AF42" s="325">
        <f>Data!DM43/AF$4*100000*AF$3</f>
        <v>0</v>
      </c>
      <c r="AG42" s="325">
        <f>Data!DN43/AG$4*100000*AG$3</f>
        <v>0</v>
      </c>
      <c r="AH42" s="325">
        <f>Data!DO43/AH$4*100000*AH$3</f>
        <v>0</v>
      </c>
      <c r="AI42" s="325">
        <f>Data!DP43/AI$4*100000*AI$3</f>
        <v>0</v>
      </c>
      <c r="AJ42" s="325">
        <f>Data!DQ43/AJ$4*100000*AJ$3</f>
        <v>0</v>
      </c>
      <c r="AK42" s="325">
        <f>Data!DR43/AK$4*100000*AK$3</f>
        <v>0</v>
      </c>
      <c r="AL42" s="333" t="s">
        <v>353</v>
      </c>
      <c r="AM42" s="325">
        <f t="shared" si="4"/>
        <v>4185.6415751406375</v>
      </c>
      <c r="AN42" s="325">
        <f>Data!DA43/AN$4*100000*AN$3</f>
        <v>0</v>
      </c>
      <c r="AO42" s="325">
        <f>Data!DB43/AO$4*100000*AO$3</f>
        <v>0</v>
      </c>
      <c r="AP42" s="325">
        <f>Data!DC43/AP$4*100000*AP$3</f>
        <v>0</v>
      </c>
      <c r="AQ42" s="325">
        <f>Data!DD43/AQ$4*100000*AQ$3</f>
        <v>0</v>
      </c>
      <c r="AR42" s="325">
        <f>Data!DE43/AR$4*100000*AR$3</f>
        <v>0</v>
      </c>
      <c r="AS42" s="325">
        <f>Data!DF43/AS$4*100000*AS$3</f>
        <v>0</v>
      </c>
      <c r="AT42" s="325">
        <f>Data!DG43/AT$4*100000*AT$3</f>
        <v>0</v>
      </c>
      <c r="AU42" s="325">
        <f>Data!DH43/AU$4*100000*AU$3</f>
        <v>0</v>
      </c>
      <c r="AV42" s="325">
        <f>Data!DI43/AV$4*100000*AV$3</f>
        <v>0</v>
      </c>
      <c r="AW42" s="325">
        <f>Data!DJ43/AW$4*100000*AW$3</f>
        <v>0</v>
      </c>
      <c r="AX42" s="325">
        <f>Data!DK43/AX$4*100000*AX$3</f>
        <v>4185.6415751406375</v>
      </c>
      <c r="AY42" s="325">
        <f>Data!DL43/AY$4*100000*AY$3</f>
        <v>0</v>
      </c>
      <c r="AZ42" s="325">
        <f>Data!DM43/AZ$4*100000*AZ$3</f>
        <v>0</v>
      </c>
      <c r="BA42" s="325">
        <f>Data!DN43/BA$4*100000*BA$3</f>
        <v>0</v>
      </c>
      <c r="BB42" s="325">
        <f>Data!DO43/BB$4*100000*BB$3</f>
        <v>0</v>
      </c>
      <c r="BC42" s="325">
        <f>Data!DP43/BC$4*100000*BC$3</f>
        <v>0</v>
      </c>
      <c r="BD42" s="325">
        <f>Data!DQ43/BD$4*100000*BD$3</f>
        <v>0</v>
      </c>
      <c r="BE42" s="325">
        <f>Data!DR43/BE$4*100000*BE$3</f>
        <v>0</v>
      </c>
    </row>
    <row r="43" spans="1:57" ht="11.25" customHeight="1">
      <c r="A43" s="67"/>
      <c r="B43" s="110"/>
      <c r="C43" s="110"/>
      <c r="D43" s="111"/>
      <c r="E43" s="112"/>
      <c r="F43" s="113"/>
      <c r="G43" s="113"/>
      <c r="H43" s="72"/>
      <c r="I43" s="72"/>
      <c r="J43" s="72"/>
      <c r="K43" s="72"/>
      <c r="L43" s="72"/>
      <c r="M43" s="72"/>
      <c r="N43" s="72"/>
      <c r="O43" s="72"/>
      <c r="P43" s="72"/>
      <c r="Q43" s="317"/>
      <c r="R43" s="333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33"/>
      <c r="AM43" s="325"/>
      <c r="AN43" s="325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5"/>
      <c r="BA43" s="325"/>
      <c r="BB43" s="325"/>
      <c r="BC43" s="325"/>
      <c r="BD43" s="325"/>
      <c r="BE43" s="325"/>
    </row>
    <row r="44" spans="1:57" ht="11.25" customHeight="1">
      <c r="A44" s="67"/>
      <c r="B44" s="97" t="str">
        <f>UPPER(LEFT(TRIM(Data!B44),1)) &amp; MID(TRIM(Data!B44),2,50)</f>
        <v>Melanoma in situ</v>
      </c>
      <c r="C44" s="97" t="str">
        <f>UPPER(LEFT(TRIM(Data!C44),1)) &amp; MID(TRIM(Data!C44),2,50)</f>
        <v>D03</v>
      </c>
      <c r="D44" s="101">
        <f>Data!BR44</f>
        <v>0</v>
      </c>
      <c r="E44" s="102">
        <f t="shared" si="5"/>
        <v>0</v>
      </c>
      <c r="F44" s="98">
        <f t="shared" si="6"/>
        <v>0</v>
      </c>
      <c r="G44" s="98">
        <f t="shared" si="7"/>
        <v>0</v>
      </c>
      <c r="H44" s="72"/>
      <c r="I44" s="72"/>
      <c r="J44" s="72"/>
      <c r="K44" s="72"/>
      <c r="L44" s="72"/>
      <c r="M44" s="72"/>
      <c r="N44" s="72"/>
      <c r="O44" s="72"/>
      <c r="P44" s="72"/>
      <c r="Q44" s="317"/>
      <c r="R44" s="333" t="s">
        <v>353</v>
      </c>
      <c r="S44" s="325">
        <f t="shared" si="3"/>
        <v>0</v>
      </c>
      <c r="T44" s="325">
        <f>Data!DA44/T$4*100000*T$3</f>
        <v>0</v>
      </c>
      <c r="U44" s="325">
        <f>Data!DB44/U$4*100000*U$3</f>
        <v>0</v>
      </c>
      <c r="V44" s="325">
        <f>Data!DC44/V$4*100000*V$3</f>
        <v>0</v>
      </c>
      <c r="W44" s="325">
        <f>Data!DD44/W$4*100000*W$3</f>
        <v>0</v>
      </c>
      <c r="X44" s="325">
        <f>Data!DE44/X$4*100000*X$3</f>
        <v>0</v>
      </c>
      <c r="Y44" s="325">
        <f>Data!DF44/Y$4*100000*Y$3</f>
        <v>0</v>
      </c>
      <c r="Z44" s="325">
        <f>Data!DG44/Z$4*100000*Z$3</f>
        <v>0</v>
      </c>
      <c r="AA44" s="325">
        <f>Data!DH44/AA$4*100000*AA$3</f>
        <v>0</v>
      </c>
      <c r="AB44" s="325">
        <f>Data!DI44/AB$4*100000*AB$3</f>
        <v>0</v>
      </c>
      <c r="AC44" s="325">
        <f>Data!DJ44/AC$4*100000*AC$3</f>
        <v>0</v>
      </c>
      <c r="AD44" s="325">
        <f>Data!DK44/AD$4*100000*AD$3</f>
        <v>0</v>
      </c>
      <c r="AE44" s="325">
        <f>Data!DL44/AE$4*100000*AE$3</f>
        <v>0</v>
      </c>
      <c r="AF44" s="325">
        <f>Data!DM44/AF$4*100000*AF$3</f>
        <v>0</v>
      </c>
      <c r="AG44" s="325">
        <f>Data!DN44/AG$4*100000*AG$3</f>
        <v>0</v>
      </c>
      <c r="AH44" s="325">
        <f>Data!DO44/AH$4*100000*AH$3</f>
        <v>0</v>
      </c>
      <c r="AI44" s="325">
        <f>Data!DP44/AI$4*100000*AI$3</f>
        <v>0</v>
      </c>
      <c r="AJ44" s="325">
        <f>Data!DQ44/AJ$4*100000*AJ$3</f>
        <v>0</v>
      </c>
      <c r="AK44" s="325">
        <f>Data!DR44/AK$4*100000*AK$3</f>
        <v>0</v>
      </c>
      <c r="AL44" s="333" t="s">
        <v>353</v>
      </c>
      <c r="AM44" s="325">
        <f t="shared" si="4"/>
        <v>0</v>
      </c>
      <c r="AN44" s="325">
        <f>Data!DA44/AN$4*100000*AN$3</f>
        <v>0</v>
      </c>
      <c r="AO44" s="325">
        <f>Data!DB44/AO$4*100000*AO$3</f>
        <v>0</v>
      </c>
      <c r="AP44" s="325">
        <f>Data!DC44/AP$4*100000*AP$3</f>
        <v>0</v>
      </c>
      <c r="AQ44" s="325">
        <f>Data!DD44/AQ$4*100000*AQ$3</f>
        <v>0</v>
      </c>
      <c r="AR44" s="325">
        <f>Data!DE44/AR$4*100000*AR$3</f>
        <v>0</v>
      </c>
      <c r="AS44" s="325">
        <f>Data!DF44/AS$4*100000*AS$3</f>
        <v>0</v>
      </c>
      <c r="AT44" s="325">
        <f>Data!DG44/AT$4*100000*AT$3</f>
        <v>0</v>
      </c>
      <c r="AU44" s="325">
        <f>Data!DH44/AU$4*100000*AU$3</f>
        <v>0</v>
      </c>
      <c r="AV44" s="325">
        <f>Data!DI44/AV$4*100000*AV$3</f>
        <v>0</v>
      </c>
      <c r="AW44" s="325">
        <f>Data!DJ44/AW$4*100000*AW$3</f>
        <v>0</v>
      </c>
      <c r="AX44" s="325">
        <f>Data!DK44/AX$4*100000*AX$3</f>
        <v>0</v>
      </c>
      <c r="AY44" s="325">
        <f>Data!DL44/AY$4*100000*AY$3</f>
        <v>0</v>
      </c>
      <c r="AZ44" s="325">
        <f>Data!DM44/AZ$4*100000*AZ$3</f>
        <v>0</v>
      </c>
      <c r="BA44" s="325">
        <f>Data!DN44/BA$4*100000*BA$3</f>
        <v>0</v>
      </c>
      <c r="BB44" s="325">
        <f>Data!DO44/BB$4*100000*BB$3</f>
        <v>0</v>
      </c>
      <c r="BC44" s="325">
        <f>Data!DP44/BC$4*100000*BC$3</f>
        <v>0</v>
      </c>
      <c r="BD44" s="325">
        <f>Data!DQ44/BD$4*100000*BD$3</f>
        <v>0</v>
      </c>
      <c r="BE44" s="325">
        <f>Data!DR44/BE$4*100000*BE$3</f>
        <v>0</v>
      </c>
    </row>
    <row r="45" spans="1:57" ht="11.25" customHeight="1">
      <c r="A45" s="67"/>
      <c r="B45" s="104" t="str">
        <f>UPPER(LEFT(TRIM(Data!B45),1)) &amp; MID(TRIM(Data!B45),2,50)</f>
        <v>Krūties navikai in situ</v>
      </c>
      <c r="C45" s="105" t="str">
        <f>UPPER(LEFT(TRIM(Data!C45),1)) &amp; MID(TRIM(Data!C45),2,50)</f>
        <v>D05</v>
      </c>
      <c r="D45" s="106">
        <f>Data!BR45</f>
        <v>0</v>
      </c>
      <c r="E45" s="107">
        <f t="shared" si="5"/>
        <v>0</v>
      </c>
      <c r="F45" s="108">
        <f t="shared" si="6"/>
        <v>0</v>
      </c>
      <c r="G45" s="108">
        <f t="shared" si="7"/>
        <v>0</v>
      </c>
      <c r="H45" s="72"/>
      <c r="I45" s="72"/>
      <c r="J45" s="72"/>
      <c r="K45" s="72"/>
      <c r="L45" s="72"/>
      <c r="M45" s="72"/>
      <c r="N45" s="72"/>
      <c r="O45" s="72"/>
      <c r="P45" s="72"/>
      <c r="Q45" s="317"/>
      <c r="R45" s="333" t="s">
        <v>353</v>
      </c>
      <c r="S45" s="325">
        <f t="shared" si="3"/>
        <v>0</v>
      </c>
      <c r="T45" s="325">
        <f>Data!DA45/T$4*100000*T$3</f>
        <v>0</v>
      </c>
      <c r="U45" s="325">
        <f>Data!DB45/U$4*100000*U$3</f>
        <v>0</v>
      </c>
      <c r="V45" s="325">
        <f>Data!DC45/V$4*100000*V$3</f>
        <v>0</v>
      </c>
      <c r="W45" s="325">
        <f>Data!DD45/W$4*100000*W$3</f>
        <v>0</v>
      </c>
      <c r="X45" s="325">
        <f>Data!DE45/X$4*100000*X$3</f>
        <v>0</v>
      </c>
      <c r="Y45" s="325">
        <f>Data!DF45/Y$4*100000*Y$3</f>
        <v>0</v>
      </c>
      <c r="Z45" s="325">
        <f>Data!DG45/Z$4*100000*Z$3</f>
        <v>0</v>
      </c>
      <c r="AA45" s="325">
        <f>Data!DH45/AA$4*100000*AA$3</f>
        <v>0</v>
      </c>
      <c r="AB45" s="325">
        <f>Data!DI45/AB$4*100000*AB$3</f>
        <v>0</v>
      </c>
      <c r="AC45" s="325">
        <f>Data!DJ45/AC$4*100000*AC$3</f>
        <v>0</v>
      </c>
      <c r="AD45" s="325">
        <f>Data!DK45/AD$4*100000*AD$3</f>
        <v>0</v>
      </c>
      <c r="AE45" s="325">
        <f>Data!DL45/AE$4*100000*AE$3</f>
        <v>0</v>
      </c>
      <c r="AF45" s="325">
        <f>Data!DM45/AF$4*100000*AF$3</f>
        <v>0</v>
      </c>
      <c r="AG45" s="325">
        <f>Data!DN45/AG$4*100000*AG$3</f>
        <v>0</v>
      </c>
      <c r="AH45" s="325">
        <f>Data!DO45/AH$4*100000*AH$3</f>
        <v>0</v>
      </c>
      <c r="AI45" s="325">
        <f>Data!DP45/AI$4*100000*AI$3</f>
        <v>0</v>
      </c>
      <c r="AJ45" s="325">
        <f>Data!DQ45/AJ$4*100000*AJ$3</f>
        <v>0</v>
      </c>
      <c r="AK45" s="325">
        <f>Data!DR45/AK$4*100000*AK$3</f>
        <v>0</v>
      </c>
      <c r="AL45" s="333" t="s">
        <v>353</v>
      </c>
      <c r="AM45" s="325">
        <f t="shared" si="4"/>
        <v>0</v>
      </c>
      <c r="AN45" s="325">
        <f>Data!DA45/AN$4*100000*AN$3</f>
        <v>0</v>
      </c>
      <c r="AO45" s="325">
        <f>Data!DB45/AO$4*100000*AO$3</f>
        <v>0</v>
      </c>
      <c r="AP45" s="325">
        <f>Data!DC45/AP$4*100000*AP$3</f>
        <v>0</v>
      </c>
      <c r="AQ45" s="325">
        <f>Data!DD45/AQ$4*100000*AQ$3</f>
        <v>0</v>
      </c>
      <c r="AR45" s="325">
        <f>Data!DE45/AR$4*100000*AR$3</f>
        <v>0</v>
      </c>
      <c r="AS45" s="325">
        <f>Data!DF45/AS$4*100000*AS$3</f>
        <v>0</v>
      </c>
      <c r="AT45" s="325">
        <f>Data!DG45/AT$4*100000*AT$3</f>
        <v>0</v>
      </c>
      <c r="AU45" s="325">
        <f>Data!DH45/AU$4*100000*AU$3</f>
        <v>0</v>
      </c>
      <c r="AV45" s="325">
        <f>Data!DI45/AV$4*100000*AV$3</f>
        <v>0</v>
      </c>
      <c r="AW45" s="325">
        <f>Data!DJ45/AW$4*100000*AW$3</f>
        <v>0</v>
      </c>
      <c r="AX45" s="325">
        <f>Data!DK45/AX$4*100000*AX$3</f>
        <v>0</v>
      </c>
      <c r="AY45" s="325">
        <f>Data!DL45/AY$4*100000*AY$3</f>
        <v>0</v>
      </c>
      <c r="AZ45" s="325">
        <f>Data!DM45/AZ$4*100000*AZ$3</f>
        <v>0</v>
      </c>
      <c r="BA45" s="325">
        <f>Data!DN45/BA$4*100000*BA$3</f>
        <v>0</v>
      </c>
      <c r="BB45" s="325">
        <f>Data!DO45/BB$4*100000*BB$3</f>
        <v>0</v>
      </c>
      <c r="BC45" s="325">
        <f>Data!DP45/BC$4*100000*BC$3</f>
        <v>0</v>
      </c>
      <c r="BD45" s="325">
        <f>Data!DQ45/BD$4*100000*BD$3</f>
        <v>0</v>
      </c>
      <c r="BE45" s="325">
        <f>Data!DR45/BE$4*100000*BE$3</f>
        <v>0</v>
      </c>
    </row>
    <row r="46" spans="1:57" ht="11.25" customHeight="1">
      <c r="A46" s="67"/>
      <c r="B46" s="103" t="str">
        <f>UPPER(LEFT(TRIM(Data!B46),1)) &amp; MID(TRIM(Data!B46),2,50)</f>
        <v>Gimdos kaklelio in situ</v>
      </c>
      <c r="C46" s="97" t="str">
        <f>UPPER(LEFT(TRIM(Data!C46),1)) &amp; MID(TRIM(Data!C46),2,50)</f>
        <v>D06</v>
      </c>
      <c r="D46" s="101">
        <f>Data!BR46</f>
        <v>0</v>
      </c>
      <c r="E46" s="102">
        <f t="shared" si="5"/>
        <v>0</v>
      </c>
      <c r="F46" s="98">
        <f t="shared" si="6"/>
        <v>0</v>
      </c>
      <c r="G46" s="98">
        <f t="shared" si="7"/>
        <v>0</v>
      </c>
      <c r="H46" s="72"/>
      <c r="I46" s="72"/>
      <c r="J46" s="72"/>
      <c r="K46" s="72"/>
      <c r="L46" s="72"/>
      <c r="M46" s="72"/>
      <c r="N46" s="72"/>
      <c r="O46" s="72"/>
      <c r="P46" s="72"/>
      <c r="Q46" s="317"/>
      <c r="R46" s="333" t="s">
        <v>353</v>
      </c>
      <c r="S46" s="325">
        <f t="shared" si="3"/>
        <v>0</v>
      </c>
      <c r="T46" s="325">
        <f>Data!DA46/T$4*100000*T$3</f>
        <v>0</v>
      </c>
      <c r="U46" s="325">
        <f>Data!DB46/U$4*100000*U$3</f>
        <v>0</v>
      </c>
      <c r="V46" s="325">
        <f>Data!DC46/V$4*100000*V$3</f>
        <v>0</v>
      </c>
      <c r="W46" s="325">
        <f>Data!DD46/W$4*100000*W$3</f>
        <v>0</v>
      </c>
      <c r="X46" s="325">
        <f>Data!DE46/X$4*100000*X$3</f>
        <v>0</v>
      </c>
      <c r="Y46" s="325">
        <f>Data!DF46/Y$4*100000*Y$3</f>
        <v>0</v>
      </c>
      <c r="Z46" s="325">
        <f>Data!DG46/Z$4*100000*Z$3</f>
        <v>0</v>
      </c>
      <c r="AA46" s="325">
        <f>Data!DH46/AA$4*100000*AA$3</f>
        <v>0</v>
      </c>
      <c r="AB46" s="325">
        <f>Data!DI46/AB$4*100000*AB$3</f>
        <v>0</v>
      </c>
      <c r="AC46" s="325">
        <f>Data!DJ46/AC$4*100000*AC$3</f>
        <v>0</v>
      </c>
      <c r="AD46" s="325">
        <f>Data!DK46/AD$4*100000*AD$3</f>
        <v>0</v>
      </c>
      <c r="AE46" s="325">
        <f>Data!DL46/AE$4*100000*AE$3</f>
        <v>0</v>
      </c>
      <c r="AF46" s="325">
        <f>Data!DM46/AF$4*100000*AF$3</f>
        <v>0</v>
      </c>
      <c r="AG46" s="325">
        <f>Data!DN46/AG$4*100000*AG$3</f>
        <v>0</v>
      </c>
      <c r="AH46" s="325">
        <f>Data!DO46/AH$4*100000*AH$3</f>
        <v>0</v>
      </c>
      <c r="AI46" s="325">
        <f>Data!DP46/AI$4*100000*AI$3</f>
        <v>0</v>
      </c>
      <c r="AJ46" s="325">
        <f>Data!DQ46/AJ$4*100000*AJ$3</f>
        <v>0</v>
      </c>
      <c r="AK46" s="325">
        <f>Data!DR46/AK$4*100000*AK$3</f>
        <v>0</v>
      </c>
      <c r="AL46" s="333" t="s">
        <v>353</v>
      </c>
      <c r="AM46" s="325">
        <f t="shared" si="4"/>
        <v>0</v>
      </c>
      <c r="AN46" s="325">
        <f>Data!DA46/AN$4*100000*AN$3</f>
        <v>0</v>
      </c>
      <c r="AO46" s="325">
        <f>Data!DB46/AO$4*100000*AO$3</f>
        <v>0</v>
      </c>
      <c r="AP46" s="325">
        <f>Data!DC46/AP$4*100000*AP$3</f>
        <v>0</v>
      </c>
      <c r="AQ46" s="325">
        <f>Data!DD46/AQ$4*100000*AQ$3</f>
        <v>0</v>
      </c>
      <c r="AR46" s="325">
        <f>Data!DE46/AR$4*100000*AR$3</f>
        <v>0</v>
      </c>
      <c r="AS46" s="325">
        <f>Data!DF46/AS$4*100000*AS$3</f>
        <v>0</v>
      </c>
      <c r="AT46" s="325">
        <f>Data!DG46/AT$4*100000*AT$3</f>
        <v>0</v>
      </c>
      <c r="AU46" s="325">
        <f>Data!DH46/AU$4*100000*AU$3</f>
        <v>0</v>
      </c>
      <c r="AV46" s="325">
        <f>Data!DI46/AV$4*100000*AV$3</f>
        <v>0</v>
      </c>
      <c r="AW46" s="325">
        <f>Data!DJ46/AW$4*100000*AW$3</f>
        <v>0</v>
      </c>
      <c r="AX46" s="325">
        <f>Data!DK46/AX$4*100000*AX$3</f>
        <v>0</v>
      </c>
      <c r="AY46" s="325">
        <f>Data!DL46/AY$4*100000*AY$3</f>
        <v>0</v>
      </c>
      <c r="AZ46" s="325">
        <f>Data!DM46/AZ$4*100000*AZ$3</f>
        <v>0</v>
      </c>
      <c r="BA46" s="325">
        <f>Data!DN46/BA$4*100000*BA$3</f>
        <v>0</v>
      </c>
      <c r="BB46" s="325">
        <f>Data!DO46/BB$4*100000*BB$3</f>
        <v>0</v>
      </c>
      <c r="BC46" s="325">
        <f>Data!DP46/BC$4*100000*BC$3</f>
        <v>0</v>
      </c>
      <c r="BD46" s="325">
        <f>Data!DQ46/BD$4*100000*BD$3</f>
        <v>0</v>
      </c>
      <c r="BE46" s="325">
        <f>Data!DR46/BE$4*100000*BE$3</f>
        <v>0</v>
      </c>
    </row>
    <row r="47" spans="1:57" ht="11.25" customHeight="1">
      <c r="A47" s="67"/>
      <c r="B47" s="104" t="str">
        <f>UPPER(LEFT(TRIM(Data!B47),1)) &amp; MID(TRIM(Data!B47),2,50)</f>
        <v>Šlapimo pūslės in situ</v>
      </c>
      <c r="C47" s="105" t="str">
        <f>UPPER(LEFT(TRIM(Data!C47),1)) &amp; MID(TRIM(Data!C47),2,50)</f>
        <v>D09.0</v>
      </c>
      <c r="D47" s="106">
        <f>Data!BR47</f>
        <v>0</v>
      </c>
      <c r="E47" s="107">
        <f t="shared" si="5"/>
        <v>0</v>
      </c>
      <c r="F47" s="108">
        <f t="shared" si="6"/>
        <v>0</v>
      </c>
      <c r="G47" s="108">
        <f t="shared" si="7"/>
        <v>0</v>
      </c>
      <c r="H47" s="72"/>
      <c r="I47" s="72"/>
      <c r="J47" s="72"/>
      <c r="K47" s="72"/>
      <c r="L47" s="72"/>
      <c r="M47" s="72"/>
      <c r="N47" s="72"/>
      <c r="O47" s="72"/>
      <c r="P47" s="72"/>
      <c r="Q47" s="317"/>
      <c r="R47" s="333" t="s">
        <v>353</v>
      </c>
      <c r="S47" s="325">
        <f t="shared" si="3"/>
        <v>0</v>
      </c>
      <c r="T47" s="325">
        <f>Data!DA47/T$4*100000*T$3</f>
        <v>0</v>
      </c>
      <c r="U47" s="325">
        <f>Data!DB47/U$4*100000*U$3</f>
        <v>0</v>
      </c>
      <c r="V47" s="325">
        <f>Data!DC47/V$4*100000*V$3</f>
        <v>0</v>
      </c>
      <c r="W47" s="325">
        <f>Data!DD47/W$4*100000*W$3</f>
        <v>0</v>
      </c>
      <c r="X47" s="325">
        <f>Data!DE47/X$4*100000*X$3</f>
        <v>0</v>
      </c>
      <c r="Y47" s="325">
        <f>Data!DF47/Y$4*100000*Y$3</f>
        <v>0</v>
      </c>
      <c r="Z47" s="325">
        <f>Data!DG47/Z$4*100000*Z$3</f>
        <v>0</v>
      </c>
      <c r="AA47" s="325">
        <f>Data!DH47/AA$4*100000*AA$3</f>
        <v>0</v>
      </c>
      <c r="AB47" s="325">
        <f>Data!DI47/AB$4*100000*AB$3</f>
        <v>0</v>
      </c>
      <c r="AC47" s="325">
        <f>Data!DJ47/AC$4*100000*AC$3</f>
        <v>0</v>
      </c>
      <c r="AD47" s="325">
        <f>Data!DK47/AD$4*100000*AD$3</f>
        <v>0</v>
      </c>
      <c r="AE47" s="325">
        <f>Data!DL47/AE$4*100000*AE$3</f>
        <v>0</v>
      </c>
      <c r="AF47" s="325">
        <f>Data!DM47/AF$4*100000*AF$3</f>
        <v>0</v>
      </c>
      <c r="AG47" s="325">
        <f>Data!DN47/AG$4*100000*AG$3</f>
        <v>0</v>
      </c>
      <c r="AH47" s="325">
        <f>Data!DO47/AH$4*100000*AH$3</f>
        <v>0</v>
      </c>
      <c r="AI47" s="325">
        <f>Data!DP47/AI$4*100000*AI$3</f>
        <v>0</v>
      </c>
      <c r="AJ47" s="325">
        <f>Data!DQ47/AJ$4*100000*AJ$3</f>
        <v>0</v>
      </c>
      <c r="AK47" s="325">
        <f>Data!DR47/AK$4*100000*AK$3</f>
        <v>0</v>
      </c>
      <c r="AL47" s="333" t="s">
        <v>353</v>
      </c>
      <c r="AM47" s="325">
        <f t="shared" si="4"/>
        <v>0</v>
      </c>
      <c r="AN47" s="325">
        <f>Data!DA47/AN$4*100000*AN$3</f>
        <v>0</v>
      </c>
      <c r="AO47" s="325">
        <f>Data!DB47/AO$4*100000*AO$3</f>
        <v>0</v>
      </c>
      <c r="AP47" s="325">
        <f>Data!DC47/AP$4*100000*AP$3</f>
        <v>0</v>
      </c>
      <c r="AQ47" s="325">
        <f>Data!DD47/AQ$4*100000*AQ$3</f>
        <v>0</v>
      </c>
      <c r="AR47" s="325">
        <f>Data!DE47/AR$4*100000*AR$3</f>
        <v>0</v>
      </c>
      <c r="AS47" s="325">
        <f>Data!DF47/AS$4*100000*AS$3</f>
        <v>0</v>
      </c>
      <c r="AT47" s="325">
        <f>Data!DG47/AT$4*100000*AT$3</f>
        <v>0</v>
      </c>
      <c r="AU47" s="325">
        <f>Data!DH47/AU$4*100000*AU$3</f>
        <v>0</v>
      </c>
      <c r="AV47" s="325">
        <f>Data!DI47/AV$4*100000*AV$3</f>
        <v>0</v>
      </c>
      <c r="AW47" s="325">
        <f>Data!DJ47/AW$4*100000*AW$3</f>
        <v>0</v>
      </c>
      <c r="AX47" s="325">
        <f>Data!DK47/AX$4*100000*AX$3</f>
        <v>0</v>
      </c>
      <c r="AY47" s="325">
        <f>Data!DL47/AY$4*100000*AY$3</f>
        <v>0</v>
      </c>
      <c r="AZ47" s="325">
        <f>Data!DM47/AZ$4*100000*AZ$3</f>
        <v>0</v>
      </c>
      <c r="BA47" s="325">
        <f>Data!DN47/BA$4*100000*BA$3</f>
        <v>0</v>
      </c>
      <c r="BB47" s="325">
        <f>Data!DO47/BB$4*100000*BB$3</f>
        <v>0</v>
      </c>
      <c r="BC47" s="325">
        <f>Data!DP47/BC$4*100000*BC$3</f>
        <v>0</v>
      </c>
      <c r="BD47" s="325">
        <f>Data!DQ47/BD$4*100000*BD$3</f>
        <v>0</v>
      </c>
      <c r="BE47" s="325">
        <f>Data!DR47/BE$4*100000*BE$3</f>
        <v>0</v>
      </c>
    </row>
    <row r="48" spans="1:57" ht="11.25" customHeight="1">
      <c r="A48" s="67"/>
      <c r="B48" s="103" t="str">
        <f>UPPER(LEFT(TRIM(Data!B48),1)) &amp; MID(TRIM(Data!B48),2,50)</f>
        <v>Nervų sistemos gerybiniai navikai</v>
      </c>
      <c r="C48" s="97" t="str">
        <f>UPPER(LEFT(TRIM(Data!C48),1)) &amp; MID(TRIM(Data!C48),2,50)</f>
        <v>D32, D33</v>
      </c>
      <c r="D48" s="101">
        <f>Data!BR48</f>
        <v>21</v>
      </c>
      <c r="E48" s="102">
        <f t="shared" si="5"/>
        <v>1.3401592109142566</v>
      </c>
      <c r="F48" s="98">
        <f t="shared" si="6"/>
        <v>0.71027638016364991</v>
      </c>
      <c r="G48" s="98">
        <f t="shared" si="7"/>
        <v>0.46868156076285045</v>
      </c>
      <c r="H48" s="72"/>
      <c r="I48" s="72"/>
      <c r="J48" s="72"/>
      <c r="K48" s="72"/>
      <c r="L48" s="72"/>
      <c r="M48" s="72"/>
      <c r="N48" s="72"/>
      <c r="O48" s="72"/>
      <c r="P48" s="72"/>
      <c r="Q48" s="317"/>
      <c r="R48" s="333" t="s">
        <v>353</v>
      </c>
      <c r="S48" s="325">
        <f t="shared" si="3"/>
        <v>71027.638016364988</v>
      </c>
      <c r="T48" s="325">
        <f>Data!DA48/T$4*100000*T$3</f>
        <v>0</v>
      </c>
      <c r="U48" s="325">
        <f>Data!DB48/U$4*100000*U$3</f>
        <v>0</v>
      </c>
      <c r="V48" s="325">
        <f>Data!DC48/V$4*100000*V$3</f>
        <v>0</v>
      </c>
      <c r="W48" s="325">
        <f>Data!DD48/W$4*100000*W$3</f>
        <v>0</v>
      </c>
      <c r="X48" s="325">
        <f>Data!DE48/X$4*100000*X$3</f>
        <v>0</v>
      </c>
      <c r="Y48" s="325">
        <f>Data!DF48/Y$4*100000*Y$3</f>
        <v>0</v>
      </c>
      <c r="Z48" s="325">
        <f>Data!DG48/Z$4*100000*Z$3</f>
        <v>0</v>
      </c>
      <c r="AA48" s="325">
        <f>Data!DH48/AA$4*100000*AA$3</f>
        <v>0</v>
      </c>
      <c r="AB48" s="325">
        <f>Data!DI48/AB$4*100000*AB$3</f>
        <v>0</v>
      </c>
      <c r="AC48" s="325">
        <f>Data!DJ48/AC$4*100000*AC$3</f>
        <v>0</v>
      </c>
      <c r="AD48" s="325">
        <f>Data!DK48/AD$4*100000*AD$3</f>
        <v>5859.8982051968933</v>
      </c>
      <c r="AE48" s="325">
        <f>Data!DL48/AE$4*100000*AE$3</f>
        <v>5133.5580690976913</v>
      </c>
      <c r="AF48" s="325">
        <f>Data!DM48/AF$4*100000*AF$3</f>
        <v>0</v>
      </c>
      <c r="AG48" s="325">
        <f>Data!DN48/AG$4*100000*AG$3</f>
        <v>22722.624917630488</v>
      </c>
      <c r="AH48" s="325">
        <f>Data!DO48/AH$4*100000*AH$3</f>
        <v>21374.372127818744</v>
      </c>
      <c r="AI48" s="325">
        <f>Data!DP48/AI$4*100000*AI$3</f>
        <v>4937.4182240106657</v>
      </c>
      <c r="AJ48" s="325">
        <f>Data!DQ48/AJ$4*100000*AJ$3</f>
        <v>4914.3269010254562</v>
      </c>
      <c r="AK48" s="325">
        <f>Data!DR48/AK$4*100000*AK$3</f>
        <v>6085.4395715850542</v>
      </c>
      <c r="AL48" s="333" t="s">
        <v>353</v>
      </c>
      <c r="AM48" s="325">
        <f t="shared" si="4"/>
        <v>46868.156076285042</v>
      </c>
      <c r="AN48" s="325">
        <f>Data!DA48/AN$4*100000*AN$3</f>
        <v>0</v>
      </c>
      <c r="AO48" s="325">
        <f>Data!DB48/AO$4*100000*AO$3</f>
        <v>0</v>
      </c>
      <c r="AP48" s="325">
        <f>Data!DC48/AP$4*100000*AP$3</f>
        <v>0</v>
      </c>
      <c r="AQ48" s="325">
        <f>Data!DD48/AQ$4*100000*AQ$3</f>
        <v>0</v>
      </c>
      <c r="AR48" s="325">
        <f>Data!DE48/AR$4*100000*AR$3</f>
        <v>0</v>
      </c>
      <c r="AS48" s="325">
        <f>Data!DF48/AS$4*100000*AS$3</f>
        <v>0</v>
      </c>
      <c r="AT48" s="325">
        <f>Data!DG48/AT$4*100000*AT$3</f>
        <v>0</v>
      </c>
      <c r="AU48" s="325">
        <f>Data!DH48/AU$4*100000*AU$3</f>
        <v>0</v>
      </c>
      <c r="AV48" s="325">
        <f>Data!DI48/AV$4*100000*AV$3</f>
        <v>0</v>
      </c>
      <c r="AW48" s="325">
        <f>Data!DJ48/AW$4*100000*AW$3</f>
        <v>0</v>
      </c>
      <c r="AX48" s="325">
        <f>Data!DK48/AX$4*100000*AX$3</f>
        <v>4185.6415751406375</v>
      </c>
      <c r="AY48" s="325">
        <f>Data!DL48/AY$4*100000*AY$3</f>
        <v>3422.3720460651275</v>
      </c>
      <c r="AZ48" s="325">
        <f>Data!DM48/AZ$4*100000*AZ$3</f>
        <v>0</v>
      </c>
      <c r="BA48" s="325">
        <f>Data!DN48/BA$4*100000*BA$3</f>
        <v>17041.968688222863</v>
      </c>
      <c r="BB48" s="325">
        <f>Data!DO48/BB$4*100000*BB$3</f>
        <v>14249.581418545829</v>
      </c>
      <c r="BC48" s="325">
        <f>Data!DP48/BC$4*100000*BC$3</f>
        <v>2468.7091120053328</v>
      </c>
      <c r="BD48" s="325">
        <f>Data!DQ48/BD$4*100000*BD$3</f>
        <v>2457.1634505127281</v>
      </c>
      <c r="BE48" s="325">
        <f>Data!DR48/BE$4*100000*BE$3</f>
        <v>3042.7197857925271</v>
      </c>
    </row>
    <row r="49" spans="1:57" ht="11.25" customHeight="1">
      <c r="A49" s="67"/>
      <c r="B49" s="104" t="str">
        <f>UPPER(LEFT(TRIM(Data!B49),1)) &amp; MID(TRIM(Data!B49),2,50)</f>
        <v>Kiaušidžių</v>
      </c>
      <c r="C49" s="105" t="str">
        <f>UPPER(LEFT(TRIM(Data!C49),1)) &amp; MID(TRIM(Data!C49),2,50)</f>
        <v>D39.1</v>
      </c>
      <c r="D49" s="106">
        <f>Data!BR49</f>
        <v>0</v>
      </c>
      <c r="E49" s="107">
        <f t="shared" si="5"/>
        <v>0</v>
      </c>
      <c r="F49" s="108">
        <f t="shared" si="6"/>
        <v>0</v>
      </c>
      <c r="G49" s="108">
        <f t="shared" si="7"/>
        <v>0</v>
      </c>
      <c r="H49" s="72"/>
      <c r="I49" s="72"/>
      <c r="J49" s="72"/>
      <c r="K49" s="72"/>
      <c r="L49" s="72"/>
      <c r="M49" s="72"/>
      <c r="N49" s="72"/>
      <c r="O49" s="72"/>
      <c r="P49" s="72"/>
      <c r="Q49" s="317"/>
      <c r="R49" s="333" t="s">
        <v>353</v>
      </c>
      <c r="S49" s="325">
        <f t="shared" si="3"/>
        <v>0</v>
      </c>
      <c r="T49" s="325">
        <f>Data!DA49/T$4*100000*T$3</f>
        <v>0</v>
      </c>
      <c r="U49" s="325">
        <f>Data!DB49/U$4*100000*U$3</f>
        <v>0</v>
      </c>
      <c r="V49" s="325">
        <f>Data!DC49/V$4*100000*V$3</f>
        <v>0</v>
      </c>
      <c r="W49" s="325">
        <f>Data!DD49/W$4*100000*W$3</f>
        <v>0</v>
      </c>
      <c r="X49" s="325">
        <f>Data!DE49/X$4*100000*X$3</f>
        <v>0</v>
      </c>
      <c r="Y49" s="325">
        <f>Data!DF49/Y$4*100000*Y$3</f>
        <v>0</v>
      </c>
      <c r="Z49" s="325">
        <f>Data!DG49/Z$4*100000*Z$3</f>
        <v>0</v>
      </c>
      <c r="AA49" s="325">
        <f>Data!DH49/AA$4*100000*AA$3</f>
        <v>0</v>
      </c>
      <c r="AB49" s="325">
        <f>Data!DI49/AB$4*100000*AB$3</f>
        <v>0</v>
      </c>
      <c r="AC49" s="325">
        <f>Data!DJ49/AC$4*100000*AC$3</f>
        <v>0</v>
      </c>
      <c r="AD49" s="325">
        <f>Data!DK49/AD$4*100000*AD$3</f>
        <v>0</v>
      </c>
      <c r="AE49" s="325">
        <f>Data!DL49/AE$4*100000*AE$3</f>
        <v>0</v>
      </c>
      <c r="AF49" s="325">
        <f>Data!DM49/AF$4*100000*AF$3</f>
        <v>0</v>
      </c>
      <c r="AG49" s="325">
        <f>Data!DN49/AG$4*100000*AG$3</f>
        <v>0</v>
      </c>
      <c r="AH49" s="325">
        <f>Data!DO49/AH$4*100000*AH$3</f>
        <v>0</v>
      </c>
      <c r="AI49" s="325">
        <f>Data!DP49/AI$4*100000*AI$3</f>
        <v>0</v>
      </c>
      <c r="AJ49" s="325">
        <f>Data!DQ49/AJ$4*100000*AJ$3</f>
        <v>0</v>
      </c>
      <c r="AK49" s="325">
        <f>Data!DR49/AK$4*100000*AK$3</f>
        <v>0</v>
      </c>
      <c r="AL49" s="333" t="s">
        <v>353</v>
      </c>
      <c r="AM49" s="325">
        <f t="shared" si="4"/>
        <v>0</v>
      </c>
      <c r="AN49" s="325">
        <f>Data!DA49/AN$4*100000*AN$3</f>
        <v>0</v>
      </c>
      <c r="AO49" s="325">
        <f>Data!DB49/AO$4*100000*AO$3</f>
        <v>0</v>
      </c>
      <c r="AP49" s="325">
        <f>Data!DC49/AP$4*100000*AP$3</f>
        <v>0</v>
      </c>
      <c r="AQ49" s="325">
        <f>Data!DD49/AQ$4*100000*AQ$3</f>
        <v>0</v>
      </c>
      <c r="AR49" s="325">
        <f>Data!DE49/AR$4*100000*AR$3</f>
        <v>0</v>
      </c>
      <c r="AS49" s="325">
        <f>Data!DF49/AS$4*100000*AS$3</f>
        <v>0</v>
      </c>
      <c r="AT49" s="325">
        <f>Data!DG49/AT$4*100000*AT$3</f>
        <v>0</v>
      </c>
      <c r="AU49" s="325">
        <f>Data!DH49/AU$4*100000*AU$3</f>
        <v>0</v>
      </c>
      <c r="AV49" s="325">
        <f>Data!DI49/AV$4*100000*AV$3</f>
        <v>0</v>
      </c>
      <c r="AW49" s="325">
        <f>Data!DJ49/AW$4*100000*AW$3</f>
        <v>0</v>
      </c>
      <c r="AX49" s="325">
        <f>Data!DK49/AX$4*100000*AX$3</f>
        <v>0</v>
      </c>
      <c r="AY49" s="325">
        <f>Data!DL49/AY$4*100000*AY$3</f>
        <v>0</v>
      </c>
      <c r="AZ49" s="325">
        <f>Data!DM49/AZ$4*100000*AZ$3</f>
        <v>0</v>
      </c>
      <c r="BA49" s="325">
        <f>Data!DN49/BA$4*100000*BA$3</f>
        <v>0</v>
      </c>
      <c r="BB49" s="325">
        <f>Data!DO49/BB$4*100000*BB$3</f>
        <v>0</v>
      </c>
      <c r="BC49" s="325">
        <f>Data!DP49/BC$4*100000*BC$3</f>
        <v>0</v>
      </c>
      <c r="BD49" s="325">
        <f>Data!DQ49/BD$4*100000*BD$3</f>
        <v>0</v>
      </c>
      <c r="BE49" s="325">
        <f>Data!DR49/BE$4*100000*BE$3</f>
        <v>0</v>
      </c>
    </row>
    <row r="50" spans="1:57" ht="11.25" customHeight="1">
      <c r="A50" s="67"/>
      <c r="B50" s="103" t="str">
        <f>UPPER(LEFT(TRIM(Data!B50),1)) &amp; MID(TRIM(Data!B50),2,50)</f>
        <v>Kiti nervų sistemos</v>
      </c>
      <c r="C50" s="97" t="str">
        <f>UPPER(LEFT(TRIM(Data!C50),1)) &amp; MID(TRIM(Data!C50),2,50)</f>
        <v>D42, D43</v>
      </c>
      <c r="D50" s="101">
        <f>Data!BR50</f>
        <v>6</v>
      </c>
      <c r="E50" s="102">
        <f t="shared" si="5"/>
        <v>0.38290263168978766</v>
      </c>
      <c r="F50" s="98">
        <f t="shared" si="6"/>
        <v>0.23964434609943328</v>
      </c>
      <c r="G50" s="98">
        <f t="shared" si="7"/>
        <v>0.21580239966689332</v>
      </c>
      <c r="H50" s="72"/>
      <c r="I50" s="72"/>
      <c r="J50" s="72"/>
      <c r="K50" s="72"/>
      <c r="L50" s="72"/>
      <c r="M50" s="72"/>
      <c r="N50" s="72"/>
      <c r="O50" s="72"/>
      <c r="P50" s="72"/>
      <c r="Q50" s="317"/>
      <c r="R50" s="333" t="s">
        <v>353</v>
      </c>
      <c r="S50" s="325">
        <f t="shared" si="3"/>
        <v>23964.434609943328</v>
      </c>
      <c r="T50" s="325">
        <f>Data!DA50/T$4*100000*T$3</f>
        <v>0</v>
      </c>
      <c r="U50" s="325">
        <f>Data!DB50/U$4*100000*U$3</f>
        <v>0</v>
      </c>
      <c r="V50" s="325">
        <f>Data!DC50/V$4*100000*V$3</f>
        <v>10704.345964461572</v>
      </c>
      <c r="W50" s="325">
        <f>Data!DD50/W$4*100000*W$3</f>
        <v>0</v>
      </c>
      <c r="X50" s="325">
        <f>Data!DE50/X$4*100000*X$3</f>
        <v>0</v>
      </c>
      <c r="Y50" s="325">
        <f>Data!DF50/Y$4*100000*Y$3</f>
        <v>0</v>
      </c>
      <c r="Z50" s="325">
        <f>Data!DG50/Z$4*100000*Z$3</f>
        <v>0</v>
      </c>
      <c r="AA50" s="325">
        <f>Data!DH50/AA$4*100000*AA$3</f>
        <v>0</v>
      </c>
      <c r="AB50" s="325">
        <f>Data!DI50/AB$4*100000*AB$3</f>
        <v>0</v>
      </c>
      <c r="AC50" s="325">
        <f>Data!DJ50/AC$4*100000*AC$3</f>
        <v>0</v>
      </c>
      <c r="AD50" s="325">
        <f>Data!DK50/AD$4*100000*AD$3</f>
        <v>0</v>
      </c>
      <c r="AE50" s="325">
        <f>Data!DL50/AE$4*100000*AE$3</f>
        <v>0</v>
      </c>
      <c r="AF50" s="325">
        <f>Data!DM50/AF$4*100000*AF$3</f>
        <v>0</v>
      </c>
      <c r="AG50" s="325">
        <f>Data!DN50/AG$4*100000*AG$3</f>
        <v>0</v>
      </c>
      <c r="AH50" s="325">
        <f>Data!DO50/AH$4*100000*AH$3</f>
        <v>7124.7907092729147</v>
      </c>
      <c r="AI50" s="325">
        <f>Data!DP50/AI$4*100000*AI$3</f>
        <v>2468.7091120053328</v>
      </c>
      <c r="AJ50" s="325">
        <f>Data!DQ50/AJ$4*100000*AJ$3</f>
        <v>1638.1089670084857</v>
      </c>
      <c r="AK50" s="325">
        <f>Data!DR50/AK$4*100000*AK$3</f>
        <v>2028.479857195018</v>
      </c>
      <c r="AL50" s="333" t="s">
        <v>353</v>
      </c>
      <c r="AM50" s="325">
        <f t="shared" si="4"/>
        <v>21580.239966689333</v>
      </c>
      <c r="AN50" s="325">
        <f>Data!DA50/AN$4*100000*AN$3</f>
        <v>0</v>
      </c>
      <c r="AO50" s="325">
        <f>Data!DB50/AO$4*100000*AO$3</f>
        <v>0</v>
      </c>
      <c r="AP50" s="325">
        <f>Data!DC50/AP$4*100000*AP$3</f>
        <v>13762.730525736308</v>
      </c>
      <c r="AQ50" s="325">
        <f>Data!DD50/AQ$4*100000*AQ$3</f>
        <v>0</v>
      </c>
      <c r="AR50" s="325">
        <f>Data!DE50/AR$4*100000*AR$3</f>
        <v>0</v>
      </c>
      <c r="AS50" s="325">
        <f>Data!DF50/AS$4*100000*AS$3</f>
        <v>0</v>
      </c>
      <c r="AT50" s="325">
        <f>Data!DG50/AT$4*100000*AT$3</f>
        <v>0</v>
      </c>
      <c r="AU50" s="325">
        <f>Data!DH50/AU$4*100000*AU$3</f>
        <v>0</v>
      </c>
      <c r="AV50" s="325">
        <f>Data!DI50/AV$4*100000*AV$3</f>
        <v>0</v>
      </c>
      <c r="AW50" s="325">
        <f>Data!DJ50/AW$4*100000*AW$3</f>
        <v>0</v>
      </c>
      <c r="AX50" s="325">
        <f>Data!DK50/AX$4*100000*AX$3</f>
        <v>0</v>
      </c>
      <c r="AY50" s="325">
        <f>Data!DL50/AY$4*100000*AY$3</f>
        <v>0</v>
      </c>
      <c r="AZ50" s="325">
        <f>Data!DM50/AZ$4*100000*AZ$3</f>
        <v>0</v>
      </c>
      <c r="BA50" s="325">
        <f>Data!DN50/BA$4*100000*BA$3</f>
        <v>0</v>
      </c>
      <c r="BB50" s="325">
        <f>Data!DO50/BB$4*100000*BB$3</f>
        <v>4749.8604728486098</v>
      </c>
      <c r="BC50" s="325">
        <f>Data!DP50/BC$4*100000*BC$3</f>
        <v>1234.3545560026664</v>
      </c>
      <c r="BD50" s="325">
        <f>Data!DQ50/BD$4*100000*BD$3</f>
        <v>819.05448350424285</v>
      </c>
      <c r="BE50" s="325">
        <f>Data!DR50/BE$4*100000*BE$3</f>
        <v>1014.239928597509</v>
      </c>
    </row>
    <row r="51" spans="1:57" ht="11.25" customHeight="1">
      <c r="A51" s="67"/>
      <c r="B51" s="104" t="str">
        <f>UPPER(LEFT(TRIM(Data!B51),1)) &amp; MID(TRIM(Data!B51),2,50)</f>
        <v>Limfinio ir kraujodaros audinių</v>
      </c>
      <c r="C51" s="105" t="str">
        <f>UPPER(LEFT(TRIM(Data!C51),1)) &amp; MID(TRIM(Data!C51),2,50)</f>
        <v>D45-D47</v>
      </c>
      <c r="D51" s="106">
        <f>Data!BR51</f>
        <v>28</v>
      </c>
      <c r="E51" s="107">
        <f t="shared" si="5"/>
        <v>1.7868789478856755</v>
      </c>
      <c r="F51" s="108">
        <f t="shared" si="6"/>
        <v>0.72292702829391697</v>
      </c>
      <c r="G51" s="108">
        <f t="shared" si="7"/>
        <v>0.43370497286570164</v>
      </c>
      <c r="H51" s="72"/>
      <c r="I51" s="72"/>
      <c r="J51" s="72"/>
      <c r="K51" s="72"/>
      <c r="L51" s="72"/>
      <c r="M51" s="72"/>
      <c r="N51" s="72"/>
      <c r="O51" s="72"/>
      <c r="P51" s="72"/>
      <c r="Q51" s="317"/>
      <c r="R51" s="333" t="s">
        <v>353</v>
      </c>
      <c r="S51" s="325">
        <f t="shared" si="3"/>
        <v>72292.702829391696</v>
      </c>
      <c r="T51" s="325">
        <f>Data!DA51/T$4*100000*T$3</f>
        <v>0</v>
      </c>
      <c r="U51" s="325">
        <f>Data!DB51/U$4*100000*U$3</f>
        <v>0</v>
      </c>
      <c r="V51" s="325">
        <f>Data!DC51/V$4*100000*V$3</f>
        <v>0</v>
      </c>
      <c r="W51" s="325">
        <f>Data!DD51/W$4*100000*W$3</f>
        <v>0</v>
      </c>
      <c r="X51" s="325">
        <f>Data!DE51/X$4*100000*X$3</f>
        <v>0</v>
      </c>
      <c r="Y51" s="325">
        <f>Data!DF51/Y$4*100000*Y$3</f>
        <v>0</v>
      </c>
      <c r="Z51" s="325">
        <f>Data!DG51/Z$4*100000*Z$3</f>
        <v>0</v>
      </c>
      <c r="AA51" s="325">
        <f>Data!DH51/AA$4*100000*AA$3</f>
        <v>0</v>
      </c>
      <c r="AB51" s="325">
        <f>Data!DI51/AB$4*100000*AB$3</f>
        <v>0</v>
      </c>
      <c r="AC51" s="325">
        <f>Data!DJ51/AC$4*100000*AC$3</f>
        <v>0</v>
      </c>
      <c r="AD51" s="325">
        <f>Data!DK51/AD$4*100000*AD$3</f>
        <v>0</v>
      </c>
      <c r="AE51" s="325">
        <f>Data!DL51/AE$4*100000*AE$3</f>
        <v>0</v>
      </c>
      <c r="AF51" s="325">
        <f>Data!DM51/AF$4*100000*AF$3</f>
        <v>10226.726527105939</v>
      </c>
      <c r="AG51" s="325">
        <f>Data!DN51/AG$4*100000*AG$3</f>
        <v>0</v>
      </c>
      <c r="AH51" s="325">
        <f>Data!DO51/AH$4*100000*AH$3</f>
        <v>24936.767482455201</v>
      </c>
      <c r="AI51" s="325">
        <f>Data!DP51/AI$4*100000*AI$3</f>
        <v>7406.1273360159967</v>
      </c>
      <c r="AJ51" s="325">
        <f>Data!DQ51/AJ$4*100000*AJ$3</f>
        <v>11466.762769059398</v>
      </c>
      <c r="AK51" s="325">
        <f>Data!DR51/AK$4*100000*AK$3</f>
        <v>18256.318714755162</v>
      </c>
      <c r="AL51" s="333" t="s">
        <v>353</v>
      </c>
      <c r="AM51" s="325">
        <f t="shared" si="4"/>
        <v>43370.497286570164</v>
      </c>
      <c r="AN51" s="325">
        <f>Data!DA51/AN$4*100000*AN$3</f>
        <v>0</v>
      </c>
      <c r="AO51" s="325">
        <f>Data!DB51/AO$4*100000*AO$3</f>
        <v>0</v>
      </c>
      <c r="AP51" s="325">
        <f>Data!DC51/AP$4*100000*AP$3</f>
        <v>0</v>
      </c>
      <c r="AQ51" s="325">
        <f>Data!DD51/AQ$4*100000*AQ$3</f>
        <v>0</v>
      </c>
      <c r="AR51" s="325">
        <f>Data!DE51/AR$4*100000*AR$3</f>
        <v>0</v>
      </c>
      <c r="AS51" s="325">
        <f>Data!DF51/AS$4*100000*AS$3</f>
        <v>0</v>
      </c>
      <c r="AT51" s="325">
        <f>Data!DG51/AT$4*100000*AT$3</f>
        <v>0</v>
      </c>
      <c r="AU51" s="325">
        <f>Data!DH51/AU$4*100000*AU$3</f>
        <v>0</v>
      </c>
      <c r="AV51" s="325">
        <f>Data!DI51/AV$4*100000*AV$3</f>
        <v>0</v>
      </c>
      <c r="AW51" s="325">
        <f>Data!DJ51/AW$4*100000*AW$3</f>
        <v>0</v>
      </c>
      <c r="AX51" s="325">
        <f>Data!DK51/AX$4*100000*AX$3</f>
        <v>0</v>
      </c>
      <c r="AY51" s="325">
        <f>Data!DL51/AY$4*100000*AY$3</f>
        <v>0</v>
      </c>
      <c r="AZ51" s="325">
        <f>Data!DM51/AZ$4*100000*AZ$3</f>
        <v>8181.3812216847509</v>
      </c>
      <c r="BA51" s="325">
        <f>Data!DN51/BA$4*100000*BA$3</f>
        <v>0</v>
      </c>
      <c r="BB51" s="325">
        <f>Data!DO51/BB$4*100000*BB$3</f>
        <v>16624.511654970134</v>
      </c>
      <c r="BC51" s="325">
        <f>Data!DP51/BC$4*100000*BC$3</f>
        <v>3703.0636680079983</v>
      </c>
      <c r="BD51" s="325">
        <f>Data!DQ51/BD$4*100000*BD$3</f>
        <v>5733.3813845296991</v>
      </c>
      <c r="BE51" s="325">
        <f>Data!DR51/BE$4*100000*BE$3</f>
        <v>9128.1593573775808</v>
      </c>
    </row>
    <row r="52" spans="1:57">
      <c r="A52" s="67"/>
      <c r="B52" s="67"/>
      <c r="C52" s="67"/>
      <c r="D52" s="67"/>
      <c r="E52" s="67"/>
      <c r="F52" s="67"/>
      <c r="G52" s="67"/>
      <c r="H52" s="72"/>
      <c r="I52" s="72"/>
      <c r="J52" s="72"/>
      <c r="K52" s="72"/>
      <c r="L52" s="72"/>
      <c r="M52" s="72"/>
      <c r="N52" s="72"/>
      <c r="O52" s="72"/>
      <c r="P52" s="72"/>
      <c r="Q52" s="317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8"/>
      <c r="BE52" s="318"/>
    </row>
    <row r="53" spans="1:57">
      <c r="A53" s="67"/>
      <c r="B53" s="67"/>
      <c r="C53" s="67"/>
      <c r="D53" s="67"/>
      <c r="E53" s="67"/>
      <c r="F53" s="67"/>
      <c r="G53" s="67"/>
      <c r="H53" s="72"/>
      <c r="I53" s="72"/>
      <c r="J53" s="72"/>
      <c r="K53" s="72"/>
      <c r="L53" s="72"/>
      <c r="M53" s="72"/>
      <c r="N53" s="72"/>
      <c r="O53" s="72"/>
      <c r="P53" s="72"/>
      <c r="Q53" s="317"/>
      <c r="R53" s="318"/>
      <c r="S53" s="325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  <c r="AJ53" s="326"/>
      <c r="AK53" s="326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8"/>
      <c r="BE53" s="318"/>
    </row>
    <row r="54" spans="1:57">
      <c r="Q54" s="317"/>
      <c r="R54" s="318" t="s">
        <v>408</v>
      </c>
      <c r="S54" s="325">
        <f>SUM(T54:AK54)</f>
        <v>100000</v>
      </c>
      <c r="T54" s="326">
        <v>8000</v>
      </c>
      <c r="U54" s="326">
        <v>7000</v>
      </c>
      <c r="V54" s="326">
        <v>7000</v>
      </c>
      <c r="W54" s="326">
        <v>7000</v>
      </c>
      <c r="X54" s="326">
        <v>7000</v>
      </c>
      <c r="Y54" s="326">
        <v>7000</v>
      </c>
      <c r="Z54" s="326">
        <v>7000</v>
      </c>
      <c r="AA54" s="326">
        <v>7000</v>
      </c>
      <c r="AB54" s="326">
        <v>7000</v>
      </c>
      <c r="AC54" s="326">
        <v>7000</v>
      </c>
      <c r="AD54" s="326">
        <v>7000</v>
      </c>
      <c r="AE54" s="326">
        <v>6000</v>
      </c>
      <c r="AF54" s="326">
        <v>5000</v>
      </c>
      <c r="AG54" s="326">
        <v>4000</v>
      </c>
      <c r="AH54" s="326">
        <v>3000</v>
      </c>
      <c r="AI54" s="326">
        <v>2000</v>
      </c>
      <c r="AJ54" s="326">
        <v>1000</v>
      </c>
      <c r="AK54" s="326">
        <v>1000</v>
      </c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8"/>
      <c r="BE54" s="318"/>
    </row>
    <row r="55" spans="1:57">
      <c r="Q55" s="317"/>
      <c r="R55" s="318" t="s">
        <v>409</v>
      </c>
      <c r="S55" s="318">
        <v>100000</v>
      </c>
      <c r="T55" s="318">
        <v>12000</v>
      </c>
      <c r="U55" s="318">
        <v>10000</v>
      </c>
      <c r="V55" s="318">
        <v>9000</v>
      </c>
      <c r="W55" s="318">
        <v>9000</v>
      </c>
      <c r="X55" s="318">
        <v>8000</v>
      </c>
      <c r="Y55" s="318">
        <v>8000</v>
      </c>
      <c r="Z55" s="318">
        <v>6000</v>
      </c>
      <c r="AA55" s="318">
        <v>6000</v>
      </c>
      <c r="AB55" s="318">
        <v>6000</v>
      </c>
      <c r="AC55" s="318">
        <v>6000</v>
      </c>
      <c r="AD55" s="318">
        <v>5000</v>
      </c>
      <c r="AE55" s="318">
        <v>4000</v>
      </c>
      <c r="AF55" s="318">
        <v>4000</v>
      </c>
      <c r="AG55" s="318">
        <v>3000</v>
      </c>
      <c r="AH55" s="318">
        <v>2000</v>
      </c>
      <c r="AI55" s="318">
        <v>1000</v>
      </c>
      <c r="AJ55" s="318">
        <v>500</v>
      </c>
      <c r="AK55" s="318">
        <v>500</v>
      </c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8"/>
      <c r="BE55" s="318"/>
    </row>
  </sheetData>
  <mergeCells count="9">
    <mergeCell ref="B1:C1"/>
    <mergeCell ref="AN2:AP2"/>
    <mergeCell ref="T2:V2"/>
    <mergeCell ref="B4:B5"/>
    <mergeCell ref="C4:C5"/>
    <mergeCell ref="D4:D5"/>
    <mergeCell ref="E4:E5"/>
    <mergeCell ref="F4:G4"/>
    <mergeCell ref="R1:R2"/>
  </mergeCells>
  <pageMargins left="0.59055118110236215" right="0.62992125984251968" top="1.5748031496062993" bottom="1.9685039370078741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39997558519241921"/>
  </sheetPr>
  <dimension ref="A1:W49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23.7109375" customWidth="1"/>
    <col min="4" max="22" width="6" customWidth="1"/>
    <col min="23" max="33" width="0.85546875" customWidth="1"/>
  </cols>
  <sheetData>
    <row r="1" spans="1:23" ht="15">
      <c r="A1" s="29"/>
      <c r="B1" s="428" t="s">
        <v>403</v>
      </c>
      <c r="C1" s="427"/>
      <c r="D1" s="427"/>
      <c r="E1" s="427"/>
      <c r="F1" s="427"/>
      <c r="G1" s="427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>
      <c r="A2" s="29"/>
      <c r="B2" s="452" t="str">
        <f>"Mirčių dėl piktybinių navikų, atvejų skaičius pagal amžiaus grupes  " &amp; GrafikaiSerg!A1 &amp; " metais. Vyrai."</f>
        <v>Mirčių dėl piktybinių navikų, atvejų skaičius pagal amžiaus grupes  2015 metais. Vyrai.</v>
      </c>
      <c r="C2" s="452"/>
      <c r="D2" s="452"/>
      <c r="E2" s="465"/>
      <c r="F2" s="452"/>
      <c r="G2" s="427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30"/>
    </row>
    <row r="3" spans="1:23">
      <c r="A3" s="29"/>
      <c r="B3" s="63" t="s">
        <v>622</v>
      </c>
      <c r="C3" s="57"/>
      <c r="D3" s="57"/>
      <c r="E3" s="57"/>
      <c r="F3" s="57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30"/>
    </row>
    <row r="4" spans="1:23" ht="12.95" customHeight="1">
      <c r="A4" s="29"/>
      <c r="B4" s="524" t="s">
        <v>243</v>
      </c>
      <c r="C4" s="524" t="s">
        <v>244</v>
      </c>
      <c r="D4" s="529" t="s">
        <v>419</v>
      </c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28"/>
      <c r="V4" s="534" t="s">
        <v>427</v>
      </c>
      <c r="W4" s="30"/>
    </row>
    <row r="5" spans="1:23" ht="12.95" customHeight="1" thickBot="1">
      <c r="A5" s="29"/>
      <c r="B5" s="525"/>
      <c r="C5" s="525"/>
      <c r="D5" s="173" t="s">
        <v>13</v>
      </c>
      <c r="E5" s="173" t="s">
        <v>11</v>
      </c>
      <c r="F5" s="173" t="s">
        <v>12</v>
      </c>
      <c r="G5" s="173" t="s">
        <v>14</v>
      </c>
      <c r="H5" s="173" t="s">
        <v>15</v>
      </c>
      <c r="I5" s="173" t="s">
        <v>16</v>
      </c>
      <c r="J5" s="173" t="s">
        <v>158</v>
      </c>
      <c r="K5" s="173" t="s">
        <v>17</v>
      </c>
      <c r="L5" s="173" t="s">
        <v>18</v>
      </c>
      <c r="M5" s="173" t="s">
        <v>19</v>
      </c>
      <c r="N5" s="173" t="s">
        <v>20</v>
      </c>
      <c r="O5" s="173" t="s">
        <v>21</v>
      </c>
      <c r="P5" s="173" t="s">
        <v>159</v>
      </c>
      <c r="Q5" s="173" t="s">
        <v>160</v>
      </c>
      <c r="R5" s="173" t="s">
        <v>161</v>
      </c>
      <c r="S5" s="173" t="s">
        <v>162</v>
      </c>
      <c r="T5" s="173" t="s">
        <v>22</v>
      </c>
      <c r="U5" s="173" t="s">
        <v>23</v>
      </c>
      <c r="V5" s="535"/>
      <c r="W5" s="30"/>
    </row>
    <row r="6" spans="1:23" ht="12" customHeight="1" thickTop="1">
      <c r="A6" s="29"/>
      <c r="B6" s="150" t="str">
        <f>UPPER(LEFT(TRIM(Data!B5),1)) &amp; MID(TRIM(Data!B5),2,50)</f>
        <v>Piktybiniai navikai</v>
      </c>
      <c r="C6" s="150" t="str">
        <f>Data!C5</f>
        <v>C00-C96</v>
      </c>
      <c r="D6" s="169">
        <f>Data!AN5</f>
        <v>5</v>
      </c>
      <c r="E6" s="169">
        <f>Data!AO5</f>
        <v>0</v>
      </c>
      <c r="F6" s="169">
        <f>Data!AP5</f>
        <v>3</v>
      </c>
      <c r="G6" s="169">
        <f>Data!AQ5</f>
        <v>2</v>
      </c>
      <c r="H6" s="169">
        <f>Data!AR5</f>
        <v>5</v>
      </c>
      <c r="I6" s="169">
        <f>Data!AS5</f>
        <v>6</v>
      </c>
      <c r="J6" s="169">
        <f>Data!AT5</f>
        <v>13</v>
      </c>
      <c r="K6" s="169">
        <f>Data!AU5</f>
        <v>27</v>
      </c>
      <c r="L6" s="169">
        <f>Data!AV5</f>
        <v>60</v>
      </c>
      <c r="M6" s="169">
        <f>Data!AW5</f>
        <v>101</v>
      </c>
      <c r="N6" s="169">
        <f>Data!AX5</f>
        <v>290</v>
      </c>
      <c r="O6" s="169">
        <f>Data!AY5</f>
        <v>442</v>
      </c>
      <c r="P6" s="169">
        <f>Data!AZ5</f>
        <v>571</v>
      </c>
      <c r="Q6" s="169">
        <f>Data!BA5</f>
        <v>674</v>
      </c>
      <c r="R6" s="169">
        <f>Data!BB5</f>
        <v>723</v>
      </c>
      <c r="S6" s="169">
        <f>Data!BC5</f>
        <v>744</v>
      </c>
      <c r="T6" s="169">
        <f>Data!BD5</f>
        <v>576</v>
      </c>
      <c r="U6" s="169">
        <f>Data!BE5</f>
        <v>403</v>
      </c>
      <c r="V6" s="169">
        <f>SUM(D6:U6)</f>
        <v>4645</v>
      </c>
      <c r="W6" s="30"/>
    </row>
    <row r="7" spans="1:23" ht="12" customHeight="1">
      <c r="A7" s="29"/>
      <c r="B7" s="145" t="str">
        <f>UPPER(LEFT(TRIM(Data!B6),1)) &amp; MID(TRIM(Data!B6),2,50)</f>
        <v>Lūpos</v>
      </c>
      <c r="C7" s="174" t="str">
        <f>Data!C6</f>
        <v>C00</v>
      </c>
      <c r="D7" s="175">
        <f>Data!AN6</f>
        <v>0</v>
      </c>
      <c r="E7" s="175">
        <f>Data!AO6</f>
        <v>0</v>
      </c>
      <c r="F7" s="175">
        <f>Data!AP6</f>
        <v>0</v>
      </c>
      <c r="G7" s="175">
        <f>Data!AQ6</f>
        <v>0</v>
      </c>
      <c r="H7" s="175">
        <f>Data!AR6</f>
        <v>0</v>
      </c>
      <c r="I7" s="175">
        <f>Data!AS6</f>
        <v>0</v>
      </c>
      <c r="J7" s="175">
        <f>Data!AT6</f>
        <v>0</v>
      </c>
      <c r="K7" s="175">
        <f>Data!AU6</f>
        <v>0</v>
      </c>
      <c r="L7" s="175">
        <f>Data!AV6</f>
        <v>0</v>
      </c>
      <c r="M7" s="175">
        <f>Data!AW6</f>
        <v>0</v>
      </c>
      <c r="N7" s="175">
        <f>Data!AX6</f>
        <v>0</v>
      </c>
      <c r="O7" s="175">
        <f>Data!AY6</f>
        <v>0</v>
      </c>
      <c r="P7" s="175">
        <f>Data!AZ6</f>
        <v>0</v>
      </c>
      <c r="Q7" s="175">
        <f>Data!BA6</f>
        <v>0</v>
      </c>
      <c r="R7" s="175">
        <f>Data!BB6</f>
        <v>2</v>
      </c>
      <c r="S7" s="175">
        <f>Data!BC6</f>
        <v>0</v>
      </c>
      <c r="T7" s="175">
        <f>Data!BD6</f>
        <v>3</v>
      </c>
      <c r="U7" s="175">
        <f>Data!BE6</f>
        <v>0</v>
      </c>
      <c r="V7" s="171">
        <f>SUM(D7:U7)</f>
        <v>5</v>
      </c>
      <c r="W7" s="30"/>
    </row>
    <row r="8" spans="1:23" ht="12" customHeight="1">
      <c r="A8" s="29"/>
      <c r="B8" s="150" t="str">
        <f>UPPER(LEFT(TRIM(Data!B7),1)) &amp; MID(TRIM(Data!B7),2,50)</f>
        <v>Burnos ertmės ir ryklės</v>
      </c>
      <c r="C8" s="150" t="str">
        <f>Data!C7</f>
        <v>C01-C14</v>
      </c>
      <c r="D8" s="169">
        <f>Data!AN7</f>
        <v>0</v>
      </c>
      <c r="E8" s="169">
        <f>Data!AO7</f>
        <v>0</v>
      </c>
      <c r="F8" s="169">
        <f>Data!AP7</f>
        <v>0</v>
      </c>
      <c r="G8" s="169">
        <f>Data!AQ7</f>
        <v>0</v>
      </c>
      <c r="H8" s="169">
        <f>Data!AR7</f>
        <v>0</v>
      </c>
      <c r="I8" s="169">
        <f>Data!AS7</f>
        <v>0</v>
      </c>
      <c r="J8" s="169">
        <f>Data!AT7</f>
        <v>0</v>
      </c>
      <c r="K8" s="169">
        <f>Data!AU7</f>
        <v>2</v>
      </c>
      <c r="L8" s="169">
        <f>Data!AV7</f>
        <v>12</v>
      </c>
      <c r="M8" s="169">
        <f>Data!AW7</f>
        <v>16</v>
      </c>
      <c r="N8" s="169">
        <f>Data!AX7</f>
        <v>37</v>
      </c>
      <c r="O8" s="169">
        <f>Data!AY7</f>
        <v>51</v>
      </c>
      <c r="P8" s="169">
        <f>Data!AZ7</f>
        <v>43</v>
      </c>
      <c r="Q8" s="169">
        <f>Data!BA7</f>
        <v>29</v>
      </c>
      <c r="R8" s="169">
        <f>Data!BB7</f>
        <v>20</v>
      </c>
      <c r="S8" s="169">
        <f>Data!BC7</f>
        <v>13</v>
      </c>
      <c r="T8" s="169">
        <f>Data!BD7</f>
        <v>4</v>
      </c>
      <c r="U8" s="169">
        <f>Data!BE7</f>
        <v>4</v>
      </c>
      <c r="V8" s="169">
        <f t="shared" ref="V8:V47" si="0">SUM(D8:U8)</f>
        <v>231</v>
      </c>
      <c r="W8" s="30"/>
    </row>
    <row r="9" spans="1:23" ht="12" customHeight="1">
      <c r="A9" s="29"/>
      <c r="B9" s="145" t="str">
        <f>UPPER(LEFT(TRIM(Data!B8),1)) &amp; MID(TRIM(Data!B8),2,50)</f>
        <v>Stemplės</v>
      </c>
      <c r="C9" s="174" t="str">
        <f>Data!C8</f>
        <v>C15</v>
      </c>
      <c r="D9" s="175">
        <f>Data!AN8</f>
        <v>0</v>
      </c>
      <c r="E9" s="175">
        <f>Data!AO8</f>
        <v>0</v>
      </c>
      <c r="F9" s="175">
        <f>Data!AP8</f>
        <v>0</v>
      </c>
      <c r="G9" s="175">
        <f>Data!AQ8</f>
        <v>0</v>
      </c>
      <c r="H9" s="175">
        <f>Data!AR8</f>
        <v>0</v>
      </c>
      <c r="I9" s="175">
        <f>Data!AS8</f>
        <v>0</v>
      </c>
      <c r="J9" s="175">
        <f>Data!AT8</f>
        <v>0</v>
      </c>
      <c r="K9" s="175">
        <f>Data!AU8</f>
        <v>0</v>
      </c>
      <c r="L9" s="175">
        <f>Data!AV8</f>
        <v>3</v>
      </c>
      <c r="M9" s="175">
        <f>Data!AW8</f>
        <v>8</v>
      </c>
      <c r="N9" s="175">
        <f>Data!AX8</f>
        <v>14</v>
      </c>
      <c r="O9" s="175">
        <f>Data!AY8</f>
        <v>27</v>
      </c>
      <c r="P9" s="175">
        <f>Data!AZ8</f>
        <v>30</v>
      </c>
      <c r="Q9" s="175">
        <f>Data!BA8</f>
        <v>36</v>
      </c>
      <c r="R9" s="175">
        <f>Data!BB8</f>
        <v>20</v>
      </c>
      <c r="S9" s="175">
        <f>Data!BC8</f>
        <v>15</v>
      </c>
      <c r="T9" s="175">
        <f>Data!BD8</f>
        <v>15</v>
      </c>
      <c r="U9" s="175">
        <f>Data!BE8</f>
        <v>4</v>
      </c>
      <c r="V9" s="171">
        <f t="shared" si="0"/>
        <v>172</v>
      </c>
      <c r="W9" s="30"/>
    </row>
    <row r="10" spans="1:23" ht="12" customHeight="1">
      <c r="A10" s="29"/>
      <c r="B10" s="150" t="str">
        <f>UPPER(LEFT(TRIM(Data!B9),1)) &amp; MID(TRIM(Data!B9),2,50)</f>
        <v>Skrandžio</v>
      </c>
      <c r="C10" s="150" t="str">
        <f>Data!C9</f>
        <v>C16</v>
      </c>
      <c r="D10" s="169">
        <f>Data!AN9</f>
        <v>0</v>
      </c>
      <c r="E10" s="169">
        <f>Data!AO9</f>
        <v>0</v>
      </c>
      <c r="F10" s="169">
        <f>Data!AP9</f>
        <v>0</v>
      </c>
      <c r="G10" s="169">
        <f>Data!AQ9</f>
        <v>0</v>
      </c>
      <c r="H10" s="169">
        <f>Data!AR9</f>
        <v>0</v>
      </c>
      <c r="I10" s="169">
        <f>Data!AS9</f>
        <v>0</v>
      </c>
      <c r="J10" s="169">
        <f>Data!AT9</f>
        <v>0</v>
      </c>
      <c r="K10" s="169">
        <f>Data!AU9</f>
        <v>1</v>
      </c>
      <c r="L10" s="169">
        <f>Data!AV9</f>
        <v>7</v>
      </c>
      <c r="M10" s="169">
        <f>Data!AW9</f>
        <v>13</v>
      </c>
      <c r="N10" s="169">
        <f>Data!AX9</f>
        <v>30</v>
      </c>
      <c r="O10" s="169">
        <f>Data!AY9</f>
        <v>28</v>
      </c>
      <c r="P10" s="169">
        <f>Data!AZ9</f>
        <v>46</v>
      </c>
      <c r="Q10" s="169">
        <f>Data!BA9</f>
        <v>51</v>
      </c>
      <c r="R10" s="169">
        <f>Data!BB9</f>
        <v>63</v>
      </c>
      <c r="S10" s="169">
        <f>Data!BC9</f>
        <v>82</v>
      </c>
      <c r="T10" s="169">
        <f>Data!BD9</f>
        <v>54</v>
      </c>
      <c r="U10" s="169">
        <f>Data!BE9</f>
        <v>38</v>
      </c>
      <c r="V10" s="169">
        <f t="shared" si="0"/>
        <v>413</v>
      </c>
      <c r="W10" s="30"/>
    </row>
    <row r="11" spans="1:23" ht="12" customHeight="1">
      <c r="A11" s="29"/>
      <c r="B11" s="145" t="str">
        <f>UPPER(LEFT(TRIM(Data!B10),1)) &amp; MID(TRIM(Data!B10),2,50)</f>
        <v>Gaubtinės žarnos</v>
      </c>
      <c r="C11" s="174" t="str">
        <f>Data!C10</f>
        <v>C18</v>
      </c>
      <c r="D11" s="175">
        <f>Data!AN10</f>
        <v>0</v>
      </c>
      <c r="E11" s="175">
        <f>Data!AO10</f>
        <v>0</v>
      </c>
      <c r="F11" s="175">
        <f>Data!AP10</f>
        <v>0</v>
      </c>
      <c r="G11" s="175">
        <f>Data!AQ10</f>
        <v>0</v>
      </c>
      <c r="H11" s="175">
        <f>Data!AR10</f>
        <v>1</v>
      </c>
      <c r="I11" s="175">
        <f>Data!AS10</f>
        <v>0</v>
      </c>
      <c r="J11" s="175">
        <f>Data!AT10</f>
        <v>0</v>
      </c>
      <c r="K11" s="175">
        <f>Data!AU10</f>
        <v>1</v>
      </c>
      <c r="L11" s="175">
        <f>Data!AV10</f>
        <v>0</v>
      </c>
      <c r="M11" s="175">
        <f>Data!AW10</f>
        <v>2</v>
      </c>
      <c r="N11" s="175">
        <f>Data!AX10</f>
        <v>8</v>
      </c>
      <c r="O11" s="175">
        <f>Data!AY10</f>
        <v>19</v>
      </c>
      <c r="P11" s="175">
        <f>Data!AZ10</f>
        <v>14</v>
      </c>
      <c r="Q11" s="175">
        <f>Data!BA10</f>
        <v>35</v>
      </c>
      <c r="R11" s="175">
        <f>Data!BB10</f>
        <v>44</v>
      </c>
      <c r="S11" s="175">
        <f>Data!BC10</f>
        <v>59</v>
      </c>
      <c r="T11" s="175">
        <f>Data!BD10</f>
        <v>45</v>
      </c>
      <c r="U11" s="175">
        <f>Data!BE10</f>
        <v>29</v>
      </c>
      <c r="V11" s="171">
        <f t="shared" si="0"/>
        <v>257</v>
      </c>
      <c r="W11" s="30"/>
    </row>
    <row r="12" spans="1:23" ht="12" customHeight="1">
      <c r="A12" s="29"/>
      <c r="B12" s="150" t="str">
        <f>UPPER(LEFT(TRIM(Data!B11),1)) &amp; MID(TRIM(Data!B11),2,50)</f>
        <v>Tiesiosios žarnos, išangės</v>
      </c>
      <c r="C12" s="150" t="str">
        <f>Data!C11</f>
        <v>C19-C21</v>
      </c>
      <c r="D12" s="169">
        <f>Data!AN11</f>
        <v>0</v>
      </c>
      <c r="E12" s="169">
        <f>Data!AO11</f>
        <v>0</v>
      </c>
      <c r="F12" s="169">
        <f>Data!AP11</f>
        <v>0</v>
      </c>
      <c r="G12" s="169">
        <f>Data!AQ11</f>
        <v>0</v>
      </c>
      <c r="H12" s="169">
        <f>Data!AR11</f>
        <v>0</v>
      </c>
      <c r="I12" s="169">
        <f>Data!AS11</f>
        <v>0</v>
      </c>
      <c r="J12" s="169">
        <f>Data!AT11</f>
        <v>1</v>
      </c>
      <c r="K12" s="169">
        <f>Data!AU11</f>
        <v>0</v>
      </c>
      <c r="L12" s="169">
        <f>Data!AV11</f>
        <v>3</v>
      </c>
      <c r="M12" s="169">
        <f>Data!AW11</f>
        <v>7</v>
      </c>
      <c r="N12" s="169">
        <f>Data!AX11</f>
        <v>9</v>
      </c>
      <c r="O12" s="169">
        <f>Data!AY11</f>
        <v>18</v>
      </c>
      <c r="P12" s="169">
        <f>Data!AZ11</f>
        <v>33</v>
      </c>
      <c r="Q12" s="169">
        <f>Data!BA11</f>
        <v>25</v>
      </c>
      <c r="R12" s="169">
        <f>Data!BB11</f>
        <v>42</v>
      </c>
      <c r="S12" s="169">
        <f>Data!BC11</f>
        <v>50</v>
      </c>
      <c r="T12" s="169">
        <f>Data!BD11</f>
        <v>37</v>
      </c>
      <c r="U12" s="169">
        <f>Data!BE11</f>
        <v>27</v>
      </c>
      <c r="V12" s="169">
        <f t="shared" si="0"/>
        <v>252</v>
      </c>
      <c r="W12" s="30"/>
    </row>
    <row r="13" spans="1:23" ht="12" customHeight="1">
      <c r="A13" s="29"/>
      <c r="B13" s="145" t="str">
        <f>UPPER(LEFT(TRIM(Data!B12),1)) &amp; MID(TRIM(Data!B12),2,50)</f>
        <v>Kepenų</v>
      </c>
      <c r="C13" s="174" t="str">
        <f>Data!C12</f>
        <v>C22</v>
      </c>
      <c r="D13" s="175">
        <f>Data!AN12</f>
        <v>0</v>
      </c>
      <c r="E13" s="175">
        <f>Data!AO12</f>
        <v>0</v>
      </c>
      <c r="F13" s="175">
        <f>Data!AP12</f>
        <v>0</v>
      </c>
      <c r="G13" s="175">
        <f>Data!AQ12</f>
        <v>0</v>
      </c>
      <c r="H13" s="175">
        <f>Data!AR12</f>
        <v>0</v>
      </c>
      <c r="I13" s="175">
        <f>Data!AS12</f>
        <v>0</v>
      </c>
      <c r="J13" s="175">
        <f>Data!AT12</f>
        <v>2</v>
      </c>
      <c r="K13" s="175">
        <f>Data!AU12</f>
        <v>0</v>
      </c>
      <c r="L13" s="175">
        <f>Data!AV12</f>
        <v>2</v>
      </c>
      <c r="M13" s="175">
        <f>Data!AW12</f>
        <v>1</v>
      </c>
      <c r="N13" s="175">
        <f>Data!AX12</f>
        <v>15</v>
      </c>
      <c r="O13" s="175">
        <f>Data!AY12</f>
        <v>10</v>
      </c>
      <c r="P13" s="175">
        <f>Data!AZ12</f>
        <v>18</v>
      </c>
      <c r="Q13" s="175">
        <f>Data!BA12</f>
        <v>25</v>
      </c>
      <c r="R13" s="175">
        <f>Data!BB12</f>
        <v>14</v>
      </c>
      <c r="S13" s="175">
        <f>Data!BC12</f>
        <v>20</v>
      </c>
      <c r="T13" s="175">
        <f>Data!BD12</f>
        <v>10</v>
      </c>
      <c r="U13" s="175">
        <f>Data!BE12</f>
        <v>8</v>
      </c>
      <c r="V13" s="171">
        <f t="shared" si="0"/>
        <v>125</v>
      </c>
      <c r="W13" s="30"/>
    </row>
    <row r="14" spans="1:23" ht="12" customHeight="1">
      <c r="A14" s="29"/>
      <c r="B14" s="150" t="str">
        <f>UPPER(LEFT(TRIM(Data!B13),1)) &amp; MID(TRIM(Data!B13),2,50)</f>
        <v>Tulžies pūslės, ekstrahepatinių takų</v>
      </c>
      <c r="C14" s="150" t="str">
        <f>Data!C13</f>
        <v>C23, C24</v>
      </c>
      <c r="D14" s="169">
        <f>Data!AN13</f>
        <v>0</v>
      </c>
      <c r="E14" s="169">
        <f>Data!AO13</f>
        <v>0</v>
      </c>
      <c r="F14" s="169">
        <f>Data!AP13</f>
        <v>0</v>
      </c>
      <c r="G14" s="169">
        <f>Data!AQ13</f>
        <v>0</v>
      </c>
      <c r="H14" s="169">
        <f>Data!AR13</f>
        <v>0</v>
      </c>
      <c r="I14" s="169">
        <f>Data!AS13</f>
        <v>0</v>
      </c>
      <c r="J14" s="169">
        <f>Data!AT13</f>
        <v>0</v>
      </c>
      <c r="K14" s="169">
        <f>Data!AU13</f>
        <v>1</v>
      </c>
      <c r="L14" s="169">
        <f>Data!AV13</f>
        <v>1</v>
      </c>
      <c r="M14" s="169">
        <f>Data!AW13</f>
        <v>1</v>
      </c>
      <c r="N14" s="169">
        <f>Data!AX13</f>
        <v>2</v>
      </c>
      <c r="O14" s="169">
        <f>Data!AY13</f>
        <v>2</v>
      </c>
      <c r="P14" s="169">
        <f>Data!AZ13</f>
        <v>2</v>
      </c>
      <c r="Q14" s="169">
        <f>Data!BA13</f>
        <v>6</v>
      </c>
      <c r="R14" s="169">
        <f>Data!BB13</f>
        <v>6</v>
      </c>
      <c r="S14" s="169">
        <f>Data!BC13</f>
        <v>2</v>
      </c>
      <c r="T14" s="169">
        <f>Data!BD13</f>
        <v>8</v>
      </c>
      <c r="U14" s="169">
        <f>Data!BE13</f>
        <v>4</v>
      </c>
      <c r="V14" s="169">
        <f t="shared" si="0"/>
        <v>35</v>
      </c>
      <c r="W14" s="30"/>
    </row>
    <row r="15" spans="1:23" ht="12" customHeight="1">
      <c r="A15" s="29"/>
      <c r="B15" s="145" t="str">
        <f>UPPER(LEFT(TRIM(Data!B14),1)) &amp; MID(TRIM(Data!B14),2,50)</f>
        <v>Kasos</v>
      </c>
      <c r="C15" s="174" t="str">
        <f>Data!C14</f>
        <v>C25</v>
      </c>
      <c r="D15" s="175">
        <f>Data!AN14</f>
        <v>0</v>
      </c>
      <c r="E15" s="175">
        <f>Data!AO14</f>
        <v>0</v>
      </c>
      <c r="F15" s="175">
        <f>Data!AP14</f>
        <v>0</v>
      </c>
      <c r="G15" s="175">
        <f>Data!AQ14</f>
        <v>0</v>
      </c>
      <c r="H15" s="175">
        <f>Data!AR14</f>
        <v>0</v>
      </c>
      <c r="I15" s="175">
        <f>Data!AS14</f>
        <v>0</v>
      </c>
      <c r="J15" s="175">
        <f>Data!AT14</f>
        <v>0</v>
      </c>
      <c r="K15" s="175">
        <f>Data!AU14</f>
        <v>0</v>
      </c>
      <c r="L15" s="175">
        <f>Data!AV14</f>
        <v>4</v>
      </c>
      <c r="M15" s="175">
        <f>Data!AW14</f>
        <v>8</v>
      </c>
      <c r="N15" s="175">
        <f>Data!AX14</f>
        <v>17</v>
      </c>
      <c r="O15" s="175">
        <f>Data!AY14</f>
        <v>19</v>
      </c>
      <c r="P15" s="175">
        <f>Data!AZ14</f>
        <v>22</v>
      </c>
      <c r="Q15" s="175">
        <f>Data!BA14</f>
        <v>48</v>
      </c>
      <c r="R15" s="175">
        <f>Data!BB14</f>
        <v>38</v>
      </c>
      <c r="S15" s="175">
        <f>Data!BC14</f>
        <v>35</v>
      </c>
      <c r="T15" s="175">
        <f>Data!BD14</f>
        <v>22</v>
      </c>
      <c r="U15" s="175">
        <f>Data!BE14</f>
        <v>13</v>
      </c>
      <c r="V15" s="171">
        <f t="shared" si="0"/>
        <v>226</v>
      </c>
      <c r="W15" s="30"/>
    </row>
    <row r="16" spans="1:23" ht="12" customHeight="1">
      <c r="A16" s="29"/>
      <c r="B16" s="150" t="str">
        <f>UPPER(LEFT(TRIM(Data!B15),1)) &amp; MID(TRIM(Data!B15),2,50)</f>
        <v>Kitų virškinimo sistemos organų</v>
      </c>
      <c r="C16" s="150" t="str">
        <f>Data!C15</f>
        <v>C17, C26, C48</v>
      </c>
      <c r="D16" s="169">
        <f>Data!AN15</f>
        <v>0</v>
      </c>
      <c r="E16" s="169">
        <f>Data!AO15</f>
        <v>0</v>
      </c>
      <c r="F16" s="169">
        <f>Data!AP15</f>
        <v>0</v>
      </c>
      <c r="G16" s="169">
        <f>Data!AQ15</f>
        <v>0</v>
      </c>
      <c r="H16" s="169">
        <f>Data!AR15</f>
        <v>0</v>
      </c>
      <c r="I16" s="169">
        <f>Data!AS15</f>
        <v>0</v>
      </c>
      <c r="J16" s="169">
        <f>Data!AT15</f>
        <v>0</v>
      </c>
      <c r="K16" s="169">
        <f>Data!AU15</f>
        <v>1</v>
      </c>
      <c r="L16" s="169">
        <f>Data!AV15</f>
        <v>0</v>
      </c>
      <c r="M16" s="169">
        <f>Data!AW15</f>
        <v>0</v>
      </c>
      <c r="N16" s="169">
        <f>Data!AX15</f>
        <v>2</v>
      </c>
      <c r="O16" s="169">
        <f>Data!AY15</f>
        <v>0</v>
      </c>
      <c r="P16" s="169">
        <f>Data!AZ15</f>
        <v>2</v>
      </c>
      <c r="Q16" s="169">
        <f>Data!BA15</f>
        <v>7</v>
      </c>
      <c r="R16" s="169">
        <f>Data!BB15</f>
        <v>1</v>
      </c>
      <c r="S16" s="169">
        <f>Data!BC15</f>
        <v>6</v>
      </c>
      <c r="T16" s="169">
        <f>Data!BD15</f>
        <v>4</v>
      </c>
      <c r="U16" s="169">
        <f>Data!BE15</f>
        <v>4</v>
      </c>
      <c r="V16" s="169">
        <f t="shared" si="0"/>
        <v>27</v>
      </c>
      <c r="W16" s="30"/>
    </row>
    <row r="17" spans="1:23" ht="12" customHeight="1">
      <c r="A17" s="29"/>
      <c r="B17" s="145" t="str">
        <f>UPPER(LEFT(TRIM(Data!B16),1)) &amp; MID(TRIM(Data!B16),2,50)</f>
        <v>Nosies ertmės, vid.ausies ir ančių</v>
      </c>
      <c r="C17" s="174" t="str">
        <f>Data!C16</f>
        <v>C30, C31</v>
      </c>
      <c r="D17" s="175">
        <f>Data!AN16</f>
        <v>0</v>
      </c>
      <c r="E17" s="175">
        <f>Data!AO16</f>
        <v>0</v>
      </c>
      <c r="F17" s="175">
        <f>Data!AP16</f>
        <v>0</v>
      </c>
      <c r="G17" s="175">
        <f>Data!AQ16</f>
        <v>0</v>
      </c>
      <c r="H17" s="175">
        <f>Data!AR16</f>
        <v>0</v>
      </c>
      <c r="I17" s="175">
        <f>Data!AS16</f>
        <v>0</v>
      </c>
      <c r="J17" s="175">
        <f>Data!AT16</f>
        <v>0</v>
      </c>
      <c r="K17" s="175">
        <f>Data!AU16</f>
        <v>0</v>
      </c>
      <c r="L17" s="175">
        <f>Data!AV16</f>
        <v>1</v>
      </c>
      <c r="M17" s="175">
        <f>Data!AW16</f>
        <v>2</v>
      </c>
      <c r="N17" s="175">
        <f>Data!AX16</f>
        <v>2</v>
      </c>
      <c r="O17" s="175">
        <f>Data!AY16</f>
        <v>0</v>
      </c>
      <c r="P17" s="175">
        <f>Data!AZ16</f>
        <v>3</v>
      </c>
      <c r="Q17" s="175">
        <f>Data!BA16</f>
        <v>0</v>
      </c>
      <c r="R17" s="175">
        <f>Data!BB16</f>
        <v>1</v>
      </c>
      <c r="S17" s="175">
        <f>Data!BC16</f>
        <v>1</v>
      </c>
      <c r="T17" s="175">
        <f>Data!BD16</f>
        <v>0</v>
      </c>
      <c r="U17" s="175">
        <f>Data!BE16</f>
        <v>1</v>
      </c>
      <c r="V17" s="171">
        <f t="shared" si="0"/>
        <v>11</v>
      </c>
      <c r="W17" s="30"/>
    </row>
    <row r="18" spans="1:23" ht="12" customHeight="1">
      <c r="A18" s="29"/>
      <c r="B18" s="150" t="str">
        <f>UPPER(LEFT(TRIM(Data!B17),1)) &amp; MID(TRIM(Data!B17),2,50)</f>
        <v>Gerklų</v>
      </c>
      <c r="C18" s="150" t="str">
        <f>Data!C17</f>
        <v>C32</v>
      </c>
      <c r="D18" s="169">
        <f>Data!AN17</f>
        <v>0</v>
      </c>
      <c r="E18" s="169">
        <f>Data!AO17</f>
        <v>0</v>
      </c>
      <c r="F18" s="169">
        <f>Data!AP17</f>
        <v>0</v>
      </c>
      <c r="G18" s="169">
        <f>Data!AQ17</f>
        <v>0</v>
      </c>
      <c r="H18" s="169">
        <f>Data!AR17</f>
        <v>0</v>
      </c>
      <c r="I18" s="169">
        <f>Data!AS17</f>
        <v>0</v>
      </c>
      <c r="J18" s="169">
        <f>Data!AT17</f>
        <v>0</v>
      </c>
      <c r="K18" s="169">
        <f>Data!AU17</f>
        <v>0</v>
      </c>
      <c r="L18" s="169">
        <f>Data!AV17</f>
        <v>4</v>
      </c>
      <c r="M18" s="169">
        <f>Data!AW17</f>
        <v>4</v>
      </c>
      <c r="N18" s="169">
        <f>Data!AX17</f>
        <v>12</v>
      </c>
      <c r="O18" s="169">
        <f>Data!AY17</f>
        <v>15</v>
      </c>
      <c r="P18" s="169">
        <f>Data!AZ17</f>
        <v>18</v>
      </c>
      <c r="Q18" s="169">
        <f>Data!BA17</f>
        <v>24</v>
      </c>
      <c r="R18" s="169">
        <f>Data!BB17</f>
        <v>24</v>
      </c>
      <c r="S18" s="169">
        <f>Data!BC17</f>
        <v>9</v>
      </c>
      <c r="T18" s="169">
        <f>Data!BD17</f>
        <v>7</v>
      </c>
      <c r="U18" s="169">
        <f>Data!BE17</f>
        <v>5</v>
      </c>
      <c r="V18" s="169">
        <f t="shared" si="0"/>
        <v>122</v>
      </c>
      <c r="W18" s="30"/>
    </row>
    <row r="19" spans="1:23" ht="12" customHeight="1">
      <c r="A19" s="29"/>
      <c r="B19" s="145" t="str">
        <f>UPPER(LEFT(TRIM(Data!B18),1)) &amp; MID(TRIM(Data!B18),2,50)</f>
        <v>Plaučių, trachėjos, bronchų</v>
      </c>
      <c r="C19" s="174" t="str">
        <f>Data!C18</f>
        <v>C33, C34</v>
      </c>
      <c r="D19" s="175">
        <f>Data!AN18</f>
        <v>0</v>
      </c>
      <c r="E19" s="175">
        <f>Data!AO18</f>
        <v>0</v>
      </c>
      <c r="F19" s="175">
        <f>Data!AP18</f>
        <v>0</v>
      </c>
      <c r="G19" s="175">
        <f>Data!AQ18</f>
        <v>0</v>
      </c>
      <c r="H19" s="175">
        <f>Data!AR18</f>
        <v>0</v>
      </c>
      <c r="I19" s="175">
        <f>Data!AS18</f>
        <v>0</v>
      </c>
      <c r="J19" s="175">
        <f>Data!AT18</f>
        <v>0</v>
      </c>
      <c r="K19" s="175">
        <f>Data!AU18</f>
        <v>2</v>
      </c>
      <c r="L19" s="175">
        <f>Data!AV18</f>
        <v>11</v>
      </c>
      <c r="M19" s="175">
        <f>Data!AW18</f>
        <v>19</v>
      </c>
      <c r="N19" s="175">
        <f>Data!AX18</f>
        <v>67</v>
      </c>
      <c r="O19" s="175">
        <f>Data!AY18</f>
        <v>133</v>
      </c>
      <c r="P19" s="175">
        <f>Data!AZ18</f>
        <v>186</v>
      </c>
      <c r="Q19" s="175">
        <f>Data!BA18</f>
        <v>171</v>
      </c>
      <c r="R19" s="175">
        <f>Data!BB18</f>
        <v>198</v>
      </c>
      <c r="S19" s="175">
        <f>Data!BC18</f>
        <v>151</v>
      </c>
      <c r="T19" s="175">
        <f>Data!BD18</f>
        <v>107</v>
      </c>
      <c r="U19" s="175">
        <f>Data!BE18</f>
        <v>55</v>
      </c>
      <c r="V19" s="171">
        <f t="shared" si="0"/>
        <v>1100</v>
      </c>
      <c r="W19" s="30"/>
    </row>
    <row r="20" spans="1:23" ht="12" customHeight="1">
      <c r="A20" s="29"/>
      <c r="B20" s="150" t="str">
        <f>UPPER(LEFT(TRIM(Data!B19),1)) &amp; MID(TRIM(Data!B19),2,50)</f>
        <v>Kitų kvėpavimo sistemos organų</v>
      </c>
      <c r="C20" s="150" t="str">
        <f>Data!C19</f>
        <v>C37-C39</v>
      </c>
      <c r="D20" s="169">
        <f>Data!AN19</f>
        <v>0</v>
      </c>
      <c r="E20" s="169">
        <f>Data!AO19</f>
        <v>0</v>
      </c>
      <c r="F20" s="169">
        <f>Data!AP19</f>
        <v>0</v>
      </c>
      <c r="G20" s="169">
        <f>Data!AQ19</f>
        <v>0</v>
      </c>
      <c r="H20" s="169">
        <f>Data!AR19</f>
        <v>0</v>
      </c>
      <c r="I20" s="169">
        <f>Data!AS19</f>
        <v>0</v>
      </c>
      <c r="J20" s="169">
        <f>Data!AT19</f>
        <v>0</v>
      </c>
      <c r="K20" s="169">
        <f>Data!AU19</f>
        <v>0</v>
      </c>
      <c r="L20" s="169">
        <f>Data!AV19</f>
        <v>0</v>
      </c>
      <c r="M20" s="169">
        <f>Data!AW19</f>
        <v>0</v>
      </c>
      <c r="N20" s="169">
        <f>Data!AX19</f>
        <v>0</v>
      </c>
      <c r="O20" s="169">
        <f>Data!AY19</f>
        <v>0</v>
      </c>
      <c r="P20" s="169">
        <f>Data!AZ19</f>
        <v>2</v>
      </c>
      <c r="Q20" s="169">
        <f>Data!BA19</f>
        <v>5</v>
      </c>
      <c r="R20" s="169">
        <f>Data!BB19</f>
        <v>2</v>
      </c>
      <c r="S20" s="169">
        <f>Data!BC19</f>
        <v>2</v>
      </c>
      <c r="T20" s="169">
        <f>Data!BD19</f>
        <v>3</v>
      </c>
      <c r="U20" s="169">
        <f>Data!BE19</f>
        <v>0</v>
      </c>
      <c r="V20" s="169">
        <f t="shared" si="0"/>
        <v>14</v>
      </c>
      <c r="W20" s="30"/>
    </row>
    <row r="21" spans="1:23" ht="12" customHeight="1">
      <c r="A21" s="29"/>
      <c r="B21" s="145" t="str">
        <f>UPPER(LEFT(TRIM(Data!B20),1)) &amp; MID(TRIM(Data!B20),2,50)</f>
        <v>Kaulų ir jungiamojo audinio</v>
      </c>
      <c r="C21" s="174" t="str">
        <f>Data!C20</f>
        <v>C40-C41, C45-C47, C49</v>
      </c>
      <c r="D21" s="175">
        <f>Data!AN20</f>
        <v>1</v>
      </c>
      <c r="E21" s="175">
        <f>Data!AO20</f>
        <v>0</v>
      </c>
      <c r="F21" s="175">
        <f>Data!AP20</f>
        <v>1</v>
      </c>
      <c r="G21" s="175">
        <f>Data!AQ20</f>
        <v>0</v>
      </c>
      <c r="H21" s="175">
        <f>Data!AR20</f>
        <v>0</v>
      </c>
      <c r="I21" s="175">
        <f>Data!AS20</f>
        <v>2</v>
      </c>
      <c r="J21" s="175">
        <f>Data!AT20</f>
        <v>2</v>
      </c>
      <c r="K21" s="175">
        <f>Data!AU20</f>
        <v>3</v>
      </c>
      <c r="L21" s="175">
        <f>Data!AV20</f>
        <v>1</v>
      </c>
      <c r="M21" s="175">
        <f>Data!AW20</f>
        <v>2</v>
      </c>
      <c r="N21" s="175">
        <f>Data!AX20</f>
        <v>4</v>
      </c>
      <c r="O21" s="175">
        <f>Data!AY20</f>
        <v>4</v>
      </c>
      <c r="P21" s="175">
        <f>Data!AZ20</f>
        <v>1</v>
      </c>
      <c r="Q21" s="175">
        <f>Data!BA20</f>
        <v>2</v>
      </c>
      <c r="R21" s="175">
        <f>Data!BB20</f>
        <v>3</v>
      </c>
      <c r="S21" s="175">
        <f>Data!BC20</f>
        <v>3</v>
      </c>
      <c r="T21" s="175">
        <f>Data!BD20</f>
        <v>2</v>
      </c>
      <c r="U21" s="175">
        <f>Data!BE20</f>
        <v>2</v>
      </c>
      <c r="V21" s="171">
        <f t="shared" si="0"/>
        <v>33</v>
      </c>
      <c r="W21" s="30"/>
    </row>
    <row r="22" spans="1:23" ht="12" customHeight="1">
      <c r="A22" s="29"/>
      <c r="B22" s="150" t="str">
        <f>UPPER(LEFT(TRIM(Data!B21),1)) &amp; MID(TRIM(Data!B21),2,50)</f>
        <v>Odos melanoma</v>
      </c>
      <c r="C22" s="150" t="str">
        <f>Data!C21</f>
        <v>C43</v>
      </c>
      <c r="D22" s="169">
        <f>Data!AN21</f>
        <v>0</v>
      </c>
      <c r="E22" s="169">
        <f>Data!AO21</f>
        <v>0</v>
      </c>
      <c r="F22" s="169">
        <f>Data!AP21</f>
        <v>0</v>
      </c>
      <c r="G22" s="169">
        <f>Data!AQ21</f>
        <v>0</v>
      </c>
      <c r="H22" s="169">
        <f>Data!AR21</f>
        <v>0</v>
      </c>
      <c r="I22" s="169">
        <f>Data!AS21</f>
        <v>1</v>
      </c>
      <c r="J22" s="169">
        <f>Data!AT21</f>
        <v>5</v>
      </c>
      <c r="K22" s="169">
        <f>Data!AU21</f>
        <v>0</v>
      </c>
      <c r="L22" s="169">
        <f>Data!AV21</f>
        <v>2</v>
      </c>
      <c r="M22" s="169">
        <f>Data!AW21</f>
        <v>1</v>
      </c>
      <c r="N22" s="169">
        <f>Data!AX21</f>
        <v>6</v>
      </c>
      <c r="O22" s="169">
        <f>Data!AY21</f>
        <v>6</v>
      </c>
      <c r="P22" s="169">
        <f>Data!AZ21</f>
        <v>2</v>
      </c>
      <c r="Q22" s="169">
        <f>Data!BA21</f>
        <v>4</v>
      </c>
      <c r="R22" s="169">
        <f>Data!BB21</f>
        <v>7</v>
      </c>
      <c r="S22" s="169">
        <f>Data!BC21</f>
        <v>7</v>
      </c>
      <c r="T22" s="169">
        <f>Data!BD21</f>
        <v>3</v>
      </c>
      <c r="U22" s="169">
        <f>Data!BE21</f>
        <v>5</v>
      </c>
      <c r="V22" s="169">
        <f t="shared" si="0"/>
        <v>49</v>
      </c>
      <c r="W22" s="30"/>
    </row>
    <row r="23" spans="1:23" ht="12" customHeight="1">
      <c r="A23" s="29"/>
      <c r="B23" s="145" t="str">
        <f>UPPER(LEFT(TRIM(Data!B22),1)) &amp; MID(TRIM(Data!B22),2,50)</f>
        <v>Kiti odos piktybiniai navikai</v>
      </c>
      <c r="C23" s="174" t="str">
        <f>Data!C22</f>
        <v>C44</v>
      </c>
      <c r="D23" s="175">
        <f>Data!AN22</f>
        <v>0</v>
      </c>
      <c r="E23" s="175">
        <f>Data!AO22</f>
        <v>0</v>
      </c>
      <c r="F23" s="175">
        <f>Data!AP22</f>
        <v>0</v>
      </c>
      <c r="G23" s="175">
        <f>Data!AQ22</f>
        <v>0</v>
      </c>
      <c r="H23" s="175">
        <f>Data!AR22</f>
        <v>0</v>
      </c>
      <c r="I23" s="175">
        <f>Data!AS22</f>
        <v>0</v>
      </c>
      <c r="J23" s="175">
        <f>Data!AT22</f>
        <v>0</v>
      </c>
      <c r="K23" s="175">
        <f>Data!AU22</f>
        <v>0</v>
      </c>
      <c r="L23" s="175">
        <f>Data!AV22</f>
        <v>0</v>
      </c>
      <c r="M23" s="175">
        <f>Data!AW22</f>
        <v>1</v>
      </c>
      <c r="N23" s="175">
        <f>Data!AX22</f>
        <v>1</v>
      </c>
      <c r="O23" s="175">
        <f>Data!AY22</f>
        <v>2</v>
      </c>
      <c r="P23" s="175">
        <f>Data!AZ22</f>
        <v>2</v>
      </c>
      <c r="Q23" s="175">
        <f>Data!BA22</f>
        <v>1</v>
      </c>
      <c r="R23" s="175">
        <f>Data!BB22</f>
        <v>4</v>
      </c>
      <c r="S23" s="175">
        <f>Data!BC22</f>
        <v>4</v>
      </c>
      <c r="T23" s="175">
        <f>Data!BD22</f>
        <v>4</v>
      </c>
      <c r="U23" s="175">
        <f>Data!BE22</f>
        <v>3</v>
      </c>
      <c r="V23" s="171">
        <f t="shared" si="0"/>
        <v>22</v>
      </c>
      <c r="W23" s="30"/>
    </row>
    <row r="24" spans="1:23" ht="12" customHeight="1">
      <c r="A24" s="29"/>
      <c r="B24" s="150" t="str">
        <f>UPPER(LEFT(TRIM(Data!B23),1)) &amp; MID(TRIM(Data!B23),2,50)</f>
        <v>Krūties</v>
      </c>
      <c r="C24" s="150" t="str">
        <f>Data!C23</f>
        <v>C50</v>
      </c>
      <c r="D24" s="169">
        <f>Data!AN23</f>
        <v>0</v>
      </c>
      <c r="E24" s="169">
        <f>Data!AO23</f>
        <v>0</v>
      </c>
      <c r="F24" s="169">
        <f>Data!AP23</f>
        <v>0</v>
      </c>
      <c r="G24" s="169">
        <f>Data!AQ23</f>
        <v>0</v>
      </c>
      <c r="H24" s="169">
        <f>Data!AR23</f>
        <v>0</v>
      </c>
      <c r="I24" s="169">
        <f>Data!AS23</f>
        <v>0</v>
      </c>
      <c r="J24" s="169">
        <f>Data!AT23</f>
        <v>0</v>
      </c>
      <c r="K24" s="169">
        <f>Data!AU23</f>
        <v>0</v>
      </c>
      <c r="L24" s="169">
        <f>Data!AV23</f>
        <v>0</v>
      </c>
      <c r="M24" s="169">
        <f>Data!AW23</f>
        <v>0</v>
      </c>
      <c r="N24" s="169">
        <f>Data!AX23</f>
        <v>0</v>
      </c>
      <c r="O24" s="169">
        <f>Data!AY23</f>
        <v>1</v>
      </c>
      <c r="P24" s="169">
        <f>Data!AZ23</f>
        <v>1</v>
      </c>
      <c r="Q24" s="169">
        <f>Data!BA23</f>
        <v>2</v>
      </c>
      <c r="R24" s="169">
        <f>Data!BB23</f>
        <v>0</v>
      </c>
      <c r="S24" s="169">
        <f>Data!BC23</f>
        <v>1</v>
      </c>
      <c r="T24" s="169">
        <f>Data!BD23</f>
        <v>0</v>
      </c>
      <c r="U24" s="169">
        <f>Data!BE23</f>
        <v>0</v>
      </c>
      <c r="V24" s="169">
        <f t="shared" si="0"/>
        <v>5</v>
      </c>
      <c r="W24" s="30"/>
    </row>
    <row r="25" spans="1:23" ht="12" customHeight="1">
      <c r="A25" s="29"/>
      <c r="B25" s="145" t="str">
        <f>UPPER(LEFT(TRIM(Data!B28),1)) &amp; MID(TRIM(Data!B28),2,50)</f>
        <v>Priešinės liaukos</v>
      </c>
      <c r="C25" s="174" t="str">
        <f>Data!C28</f>
        <v>C61</v>
      </c>
      <c r="D25" s="175">
        <f>Data!AN28</f>
        <v>0</v>
      </c>
      <c r="E25" s="175">
        <f>Data!AO28</f>
        <v>0</v>
      </c>
      <c r="F25" s="175">
        <f>Data!AP28</f>
        <v>0</v>
      </c>
      <c r="G25" s="175">
        <f>Data!AQ28</f>
        <v>0</v>
      </c>
      <c r="H25" s="175">
        <f>Data!AR28</f>
        <v>0</v>
      </c>
      <c r="I25" s="175">
        <f>Data!AS28</f>
        <v>0</v>
      </c>
      <c r="J25" s="175">
        <f>Data!AT28</f>
        <v>0</v>
      </c>
      <c r="K25" s="175">
        <f>Data!AU28</f>
        <v>0</v>
      </c>
      <c r="L25" s="175">
        <f>Data!AV28</f>
        <v>0</v>
      </c>
      <c r="M25" s="175">
        <f>Data!AW28</f>
        <v>2</v>
      </c>
      <c r="N25" s="175">
        <f>Data!AX28</f>
        <v>5</v>
      </c>
      <c r="O25" s="175">
        <f>Data!AY28</f>
        <v>12</v>
      </c>
      <c r="P25" s="175">
        <f>Data!AZ28</f>
        <v>28</v>
      </c>
      <c r="Q25" s="175">
        <f>Data!BA28</f>
        <v>57</v>
      </c>
      <c r="R25" s="175">
        <f>Data!BB28</f>
        <v>97</v>
      </c>
      <c r="S25" s="175">
        <f>Data!BC28</f>
        <v>125</v>
      </c>
      <c r="T25" s="175">
        <f>Data!BD28</f>
        <v>116</v>
      </c>
      <c r="U25" s="175">
        <f>Data!BE28</f>
        <v>102</v>
      </c>
      <c r="V25" s="171">
        <f t="shared" si="0"/>
        <v>544</v>
      </c>
      <c r="W25" s="30"/>
    </row>
    <row r="26" spans="1:23" ht="12" customHeight="1">
      <c r="A26" s="29"/>
      <c r="B26" s="150" t="str">
        <f>UPPER(LEFT(TRIM(Data!B29),1)) &amp; MID(TRIM(Data!B29),2,50)</f>
        <v>Sėklidžių</v>
      </c>
      <c r="C26" s="150" t="str">
        <f>Data!C29</f>
        <v>C62</v>
      </c>
      <c r="D26" s="169">
        <f>Data!AN29</f>
        <v>0</v>
      </c>
      <c r="E26" s="169">
        <f>Data!AO29</f>
        <v>0</v>
      </c>
      <c r="F26" s="169">
        <f>Data!AP29</f>
        <v>0</v>
      </c>
      <c r="G26" s="169">
        <f>Data!AQ29</f>
        <v>0</v>
      </c>
      <c r="H26" s="169">
        <f>Data!AR29</f>
        <v>3</v>
      </c>
      <c r="I26" s="169">
        <f>Data!AS29</f>
        <v>0</v>
      </c>
      <c r="J26" s="169">
        <f>Data!AT29</f>
        <v>0</v>
      </c>
      <c r="K26" s="169">
        <f>Data!AU29</f>
        <v>1</v>
      </c>
      <c r="L26" s="169">
        <f>Data!AV29</f>
        <v>0</v>
      </c>
      <c r="M26" s="169">
        <f>Data!AW29</f>
        <v>1</v>
      </c>
      <c r="N26" s="169">
        <f>Data!AX29</f>
        <v>0</v>
      </c>
      <c r="O26" s="169">
        <f>Data!AY29</f>
        <v>0</v>
      </c>
      <c r="P26" s="169">
        <f>Data!AZ29</f>
        <v>1</v>
      </c>
      <c r="Q26" s="169">
        <f>Data!BA29</f>
        <v>0</v>
      </c>
      <c r="R26" s="169">
        <f>Data!BB29</f>
        <v>0</v>
      </c>
      <c r="S26" s="169">
        <f>Data!BC29</f>
        <v>0</v>
      </c>
      <c r="T26" s="169">
        <f>Data!BD29</f>
        <v>0</v>
      </c>
      <c r="U26" s="169">
        <f>Data!BE29</f>
        <v>0</v>
      </c>
      <c r="V26" s="169">
        <f t="shared" si="0"/>
        <v>6</v>
      </c>
      <c r="W26" s="30"/>
    </row>
    <row r="27" spans="1:23" ht="12" customHeight="1">
      <c r="A27" s="29"/>
      <c r="B27" s="145" t="str">
        <f>UPPER(LEFT(TRIM(Data!B30),1)) &amp; MID(TRIM(Data!B30),2,50)</f>
        <v>Kitų lyties organų</v>
      </c>
      <c r="C27" s="174" t="s">
        <v>417</v>
      </c>
      <c r="D27" s="175">
        <f>Data!AN30</f>
        <v>0</v>
      </c>
      <c r="E27" s="175">
        <f>Data!AO30</f>
        <v>0</v>
      </c>
      <c r="F27" s="175">
        <f>Data!AP30</f>
        <v>0</v>
      </c>
      <c r="G27" s="175">
        <f>Data!AQ30</f>
        <v>0</v>
      </c>
      <c r="H27" s="175">
        <f>Data!AR30</f>
        <v>0</v>
      </c>
      <c r="I27" s="175">
        <f>Data!AS30</f>
        <v>0</v>
      </c>
      <c r="J27" s="175">
        <f>Data!AT30</f>
        <v>0</v>
      </c>
      <c r="K27" s="175">
        <f>Data!AU30</f>
        <v>0</v>
      </c>
      <c r="L27" s="175">
        <f>Data!AV30</f>
        <v>0</v>
      </c>
      <c r="M27" s="175">
        <f>Data!AW30</f>
        <v>0</v>
      </c>
      <c r="N27" s="175">
        <f>Data!AX30</f>
        <v>0</v>
      </c>
      <c r="O27" s="175">
        <f>Data!AY30</f>
        <v>0</v>
      </c>
      <c r="P27" s="175">
        <f>Data!AZ30</f>
        <v>3</v>
      </c>
      <c r="Q27" s="175">
        <f>Data!BA30</f>
        <v>2</v>
      </c>
      <c r="R27" s="175">
        <f>Data!BB30</f>
        <v>2</v>
      </c>
      <c r="S27" s="175">
        <f>Data!BC30</f>
        <v>0</v>
      </c>
      <c r="T27" s="175">
        <f>Data!BD30</f>
        <v>2</v>
      </c>
      <c r="U27" s="175">
        <f>Data!BE30</f>
        <v>0</v>
      </c>
      <c r="V27" s="171">
        <f t="shared" si="0"/>
        <v>9</v>
      </c>
      <c r="W27" s="30"/>
    </row>
    <row r="28" spans="1:23" ht="12" customHeight="1">
      <c r="A28" s="29"/>
      <c r="B28" s="150" t="str">
        <f>UPPER(LEFT(TRIM(Data!B31),1)) &amp; MID(TRIM(Data!B31),2,50)</f>
        <v>Inkstų</v>
      </c>
      <c r="C28" s="150" t="str">
        <f>Data!C31</f>
        <v>C64</v>
      </c>
      <c r="D28" s="169">
        <f>Data!AN31</f>
        <v>0</v>
      </c>
      <c r="E28" s="169">
        <f>Data!AO31</f>
        <v>0</v>
      </c>
      <c r="F28" s="169">
        <f>Data!AP31</f>
        <v>0</v>
      </c>
      <c r="G28" s="169">
        <f>Data!AQ31</f>
        <v>1</v>
      </c>
      <c r="H28" s="169">
        <f>Data!AR31</f>
        <v>0</v>
      </c>
      <c r="I28" s="169">
        <f>Data!AS31</f>
        <v>0</v>
      </c>
      <c r="J28" s="169">
        <f>Data!AT31</f>
        <v>0</v>
      </c>
      <c r="K28" s="169">
        <f>Data!AU31</f>
        <v>1</v>
      </c>
      <c r="L28" s="169">
        <f>Data!AV31</f>
        <v>0</v>
      </c>
      <c r="M28" s="169">
        <f>Data!AW31</f>
        <v>4</v>
      </c>
      <c r="N28" s="169">
        <f>Data!AX31</f>
        <v>17</v>
      </c>
      <c r="O28" s="169">
        <f>Data!AY31</f>
        <v>14</v>
      </c>
      <c r="P28" s="169">
        <f>Data!AZ31</f>
        <v>30</v>
      </c>
      <c r="Q28" s="169">
        <f>Data!BA31</f>
        <v>33</v>
      </c>
      <c r="R28" s="169">
        <f>Data!BB31</f>
        <v>19</v>
      </c>
      <c r="S28" s="169">
        <f>Data!BC31</f>
        <v>32</v>
      </c>
      <c r="T28" s="169">
        <f>Data!BD31</f>
        <v>17</v>
      </c>
      <c r="U28" s="169">
        <f>Data!BE31</f>
        <v>15</v>
      </c>
      <c r="V28" s="169">
        <f t="shared" si="0"/>
        <v>183</v>
      </c>
      <c r="W28" s="30"/>
    </row>
    <row r="29" spans="1:23" ht="12" customHeight="1">
      <c r="A29" s="29"/>
      <c r="B29" s="145" t="str">
        <f>UPPER(LEFT(TRIM(Data!B32),1)) &amp; MID(TRIM(Data!B32),2,50)</f>
        <v>Šlapimo pūslės</v>
      </c>
      <c r="C29" s="174" t="str">
        <f>Data!C32</f>
        <v>C67</v>
      </c>
      <c r="D29" s="175">
        <f>Data!AN32</f>
        <v>0</v>
      </c>
      <c r="E29" s="175">
        <f>Data!AO32</f>
        <v>0</v>
      </c>
      <c r="F29" s="175">
        <f>Data!AP32</f>
        <v>0</v>
      </c>
      <c r="G29" s="175">
        <f>Data!AQ32</f>
        <v>0</v>
      </c>
      <c r="H29" s="175">
        <f>Data!AR32</f>
        <v>0</v>
      </c>
      <c r="I29" s="175">
        <f>Data!AS32</f>
        <v>0</v>
      </c>
      <c r="J29" s="175">
        <f>Data!AT32</f>
        <v>0</v>
      </c>
      <c r="K29" s="175">
        <f>Data!AU32</f>
        <v>1</v>
      </c>
      <c r="L29" s="175">
        <f>Data!AV32</f>
        <v>1</v>
      </c>
      <c r="M29" s="175">
        <f>Data!AW32</f>
        <v>1</v>
      </c>
      <c r="N29" s="175">
        <f>Data!AX32</f>
        <v>4</v>
      </c>
      <c r="O29" s="175">
        <f>Data!AY32</f>
        <v>11</v>
      </c>
      <c r="P29" s="175">
        <f>Data!AZ32</f>
        <v>15</v>
      </c>
      <c r="Q29" s="175">
        <f>Data!BA32</f>
        <v>21</v>
      </c>
      <c r="R29" s="175">
        <f>Data!BB32</f>
        <v>21</v>
      </c>
      <c r="S29" s="175">
        <f>Data!BC32</f>
        <v>40</v>
      </c>
      <c r="T29" s="175">
        <f>Data!BD32</f>
        <v>39</v>
      </c>
      <c r="U29" s="175">
        <f>Data!BE32</f>
        <v>27</v>
      </c>
      <c r="V29" s="171">
        <f t="shared" si="0"/>
        <v>181</v>
      </c>
      <c r="W29" s="30"/>
    </row>
    <row r="30" spans="1:23" ht="12" customHeight="1">
      <c r="A30" s="29"/>
      <c r="B30" s="150" t="str">
        <f>UPPER(LEFT(TRIM(Data!B33),1)) &amp; MID(TRIM(Data!B33),2,50)</f>
        <v>Kitų šlapimą išskiriančių organų</v>
      </c>
      <c r="C30" s="150" t="str">
        <f>Data!C33</f>
        <v>C65, C66, C68</v>
      </c>
      <c r="D30" s="169">
        <f>Data!AN33</f>
        <v>0</v>
      </c>
      <c r="E30" s="169">
        <f>Data!AO33</f>
        <v>0</v>
      </c>
      <c r="F30" s="169">
        <f>Data!AP33</f>
        <v>0</v>
      </c>
      <c r="G30" s="169">
        <f>Data!AQ33</f>
        <v>0</v>
      </c>
      <c r="H30" s="169">
        <f>Data!AR33</f>
        <v>0</v>
      </c>
      <c r="I30" s="169">
        <f>Data!AS33</f>
        <v>0</v>
      </c>
      <c r="J30" s="169">
        <f>Data!AT33</f>
        <v>0</v>
      </c>
      <c r="K30" s="169">
        <f>Data!AU33</f>
        <v>0</v>
      </c>
      <c r="L30" s="169">
        <f>Data!AV33</f>
        <v>0</v>
      </c>
      <c r="M30" s="169">
        <f>Data!AW33</f>
        <v>0</v>
      </c>
      <c r="N30" s="169">
        <f>Data!AX33</f>
        <v>2</v>
      </c>
      <c r="O30" s="169">
        <f>Data!AY33</f>
        <v>0</v>
      </c>
      <c r="P30" s="169">
        <f>Data!AZ33</f>
        <v>1</v>
      </c>
      <c r="Q30" s="169">
        <f>Data!BA33</f>
        <v>3</v>
      </c>
      <c r="R30" s="169">
        <f>Data!BB33</f>
        <v>2</v>
      </c>
      <c r="S30" s="169">
        <f>Data!BC33</f>
        <v>3</v>
      </c>
      <c r="T30" s="169">
        <f>Data!BD33</f>
        <v>2</v>
      </c>
      <c r="U30" s="169">
        <f>Data!BE33</f>
        <v>1</v>
      </c>
      <c r="V30" s="169">
        <f t="shared" si="0"/>
        <v>14</v>
      </c>
      <c r="W30" s="30"/>
    </row>
    <row r="31" spans="1:23" ht="12" customHeight="1">
      <c r="A31" s="29"/>
      <c r="B31" s="145" t="str">
        <f>UPPER(LEFT(TRIM(Data!B34),1)) &amp; MID(TRIM(Data!B34),2,50)</f>
        <v>Akių</v>
      </c>
      <c r="C31" s="174" t="str">
        <f>Data!C34</f>
        <v>C69</v>
      </c>
      <c r="D31" s="175">
        <f>Data!AN34</f>
        <v>0</v>
      </c>
      <c r="E31" s="175">
        <f>Data!AO34</f>
        <v>0</v>
      </c>
      <c r="F31" s="175">
        <f>Data!AP34</f>
        <v>0</v>
      </c>
      <c r="G31" s="175">
        <f>Data!AQ34</f>
        <v>0</v>
      </c>
      <c r="H31" s="175">
        <f>Data!AR34</f>
        <v>0</v>
      </c>
      <c r="I31" s="175">
        <f>Data!AS34</f>
        <v>0</v>
      </c>
      <c r="J31" s="175">
        <f>Data!AT34</f>
        <v>0</v>
      </c>
      <c r="K31" s="175">
        <f>Data!AU34</f>
        <v>1</v>
      </c>
      <c r="L31" s="175">
        <f>Data!AV34</f>
        <v>0</v>
      </c>
      <c r="M31" s="175">
        <f>Data!AW34</f>
        <v>0</v>
      </c>
      <c r="N31" s="175">
        <f>Data!AX34</f>
        <v>0</v>
      </c>
      <c r="O31" s="175">
        <f>Data!AY34</f>
        <v>0</v>
      </c>
      <c r="P31" s="175">
        <f>Data!AZ34</f>
        <v>0</v>
      </c>
      <c r="Q31" s="175">
        <f>Data!BA34</f>
        <v>0</v>
      </c>
      <c r="R31" s="175">
        <f>Data!BB34</f>
        <v>1</v>
      </c>
      <c r="S31" s="175">
        <f>Data!BC34</f>
        <v>1</v>
      </c>
      <c r="T31" s="175">
        <f>Data!BD34</f>
        <v>0</v>
      </c>
      <c r="U31" s="175">
        <f>Data!BE34</f>
        <v>0</v>
      </c>
      <c r="V31" s="171">
        <f t="shared" si="0"/>
        <v>3</v>
      </c>
      <c r="W31" s="30"/>
    </row>
    <row r="32" spans="1:23" ht="12" customHeight="1">
      <c r="A32" s="29"/>
      <c r="B32" s="150" t="str">
        <f>UPPER(LEFT(TRIM(Data!B35),1)) &amp; MID(TRIM(Data!B35),2,50)</f>
        <v>Smegenų</v>
      </c>
      <c r="C32" s="150" t="str">
        <f>Data!C35</f>
        <v>C70-C72</v>
      </c>
      <c r="D32" s="169">
        <f>Data!AN35</f>
        <v>1</v>
      </c>
      <c r="E32" s="169">
        <f>Data!AO35</f>
        <v>0</v>
      </c>
      <c r="F32" s="169">
        <f>Data!AP35</f>
        <v>2</v>
      </c>
      <c r="G32" s="169">
        <f>Data!AQ35</f>
        <v>1</v>
      </c>
      <c r="H32" s="169">
        <f>Data!AR35</f>
        <v>1</v>
      </c>
      <c r="I32" s="169">
        <f>Data!AS35</f>
        <v>3</v>
      </c>
      <c r="J32" s="169">
        <f>Data!AT35</f>
        <v>1</v>
      </c>
      <c r="K32" s="169">
        <f>Data!AU35</f>
        <v>6</v>
      </c>
      <c r="L32" s="169">
        <f>Data!AV35</f>
        <v>4</v>
      </c>
      <c r="M32" s="169">
        <f>Data!AW35</f>
        <v>7</v>
      </c>
      <c r="N32" s="169">
        <f>Data!AX35</f>
        <v>11</v>
      </c>
      <c r="O32" s="169">
        <f>Data!AY35</f>
        <v>15</v>
      </c>
      <c r="P32" s="169">
        <f>Data!AZ35</f>
        <v>14</v>
      </c>
      <c r="Q32" s="169">
        <f>Data!BA35</f>
        <v>16</v>
      </c>
      <c r="R32" s="169">
        <f>Data!BB35</f>
        <v>12</v>
      </c>
      <c r="S32" s="169">
        <f>Data!BC35</f>
        <v>7</v>
      </c>
      <c r="T32" s="169">
        <f>Data!BD35</f>
        <v>7</v>
      </c>
      <c r="U32" s="169">
        <f>Data!BE35</f>
        <v>2</v>
      </c>
      <c r="V32" s="169">
        <f t="shared" si="0"/>
        <v>110</v>
      </c>
      <c r="W32" s="30"/>
    </row>
    <row r="33" spans="1:23" ht="12" customHeight="1">
      <c r="A33" s="29"/>
      <c r="B33" s="145" t="str">
        <f>UPPER(LEFT(TRIM(Data!B36),1)) &amp; MID(TRIM(Data!B36),2,50)</f>
        <v>Skydliaukės</v>
      </c>
      <c r="C33" s="174" t="str">
        <f>Data!C36</f>
        <v>C73</v>
      </c>
      <c r="D33" s="175">
        <f>Data!AN36</f>
        <v>0</v>
      </c>
      <c r="E33" s="175">
        <f>Data!AO36</f>
        <v>0</v>
      </c>
      <c r="F33" s="175">
        <f>Data!AP36</f>
        <v>0</v>
      </c>
      <c r="G33" s="175">
        <f>Data!AQ36</f>
        <v>0</v>
      </c>
      <c r="H33" s="175">
        <f>Data!AR36</f>
        <v>0</v>
      </c>
      <c r="I33" s="175">
        <f>Data!AS36</f>
        <v>0</v>
      </c>
      <c r="J33" s="175">
        <f>Data!AT36</f>
        <v>0</v>
      </c>
      <c r="K33" s="175">
        <f>Data!AU36</f>
        <v>0</v>
      </c>
      <c r="L33" s="175">
        <f>Data!AV36</f>
        <v>0</v>
      </c>
      <c r="M33" s="175">
        <f>Data!AW36</f>
        <v>0</v>
      </c>
      <c r="N33" s="175">
        <f>Data!AX36</f>
        <v>2</v>
      </c>
      <c r="O33" s="175">
        <f>Data!AY36</f>
        <v>1</v>
      </c>
      <c r="P33" s="175">
        <f>Data!AZ36</f>
        <v>2</v>
      </c>
      <c r="Q33" s="175">
        <f>Data!BA36</f>
        <v>0</v>
      </c>
      <c r="R33" s="175">
        <f>Data!BB36</f>
        <v>2</v>
      </c>
      <c r="S33" s="175">
        <f>Data!BC36</f>
        <v>3</v>
      </c>
      <c r="T33" s="175">
        <f>Data!BD36</f>
        <v>0</v>
      </c>
      <c r="U33" s="175">
        <f>Data!BE36</f>
        <v>1</v>
      </c>
      <c r="V33" s="171">
        <f t="shared" si="0"/>
        <v>11</v>
      </c>
      <c r="W33" s="30"/>
    </row>
    <row r="34" spans="1:23" ht="12" customHeight="1">
      <c r="A34" s="29"/>
      <c r="B34" s="150" t="str">
        <f>UPPER(LEFT(TRIM(Data!B37),1)) &amp; MID(TRIM(Data!B37),2,50)</f>
        <v>Kitų endokrininių liaukų</v>
      </c>
      <c r="C34" s="150" t="str">
        <f>Data!C37</f>
        <v>C74-C75</v>
      </c>
      <c r="D34" s="169">
        <f>Data!AN37</f>
        <v>1</v>
      </c>
      <c r="E34" s="169">
        <f>Data!AO37</f>
        <v>0</v>
      </c>
      <c r="F34" s="169">
        <f>Data!AP37</f>
        <v>0</v>
      </c>
      <c r="G34" s="169">
        <f>Data!AQ37</f>
        <v>0</v>
      </c>
      <c r="H34" s="169">
        <f>Data!AR37</f>
        <v>0</v>
      </c>
      <c r="I34" s="169">
        <f>Data!AS37</f>
        <v>0</v>
      </c>
      <c r="J34" s="169">
        <f>Data!AT37</f>
        <v>0</v>
      </c>
      <c r="K34" s="169">
        <f>Data!AU37</f>
        <v>0</v>
      </c>
      <c r="L34" s="169">
        <f>Data!AV37</f>
        <v>0</v>
      </c>
      <c r="M34" s="169">
        <f>Data!AW37</f>
        <v>0</v>
      </c>
      <c r="N34" s="169">
        <f>Data!AX37</f>
        <v>1</v>
      </c>
      <c r="O34" s="169">
        <f>Data!AY37</f>
        <v>1</v>
      </c>
      <c r="P34" s="169">
        <f>Data!AZ37</f>
        <v>0</v>
      </c>
      <c r="Q34" s="169">
        <f>Data!BA37</f>
        <v>2</v>
      </c>
      <c r="R34" s="169">
        <f>Data!BB37</f>
        <v>2</v>
      </c>
      <c r="S34" s="169">
        <f>Data!BC37</f>
        <v>3</v>
      </c>
      <c r="T34" s="169">
        <f>Data!BD37</f>
        <v>0</v>
      </c>
      <c r="U34" s="169">
        <f>Data!BE37</f>
        <v>2</v>
      </c>
      <c r="V34" s="169">
        <f t="shared" si="0"/>
        <v>12</v>
      </c>
      <c r="W34" s="30"/>
    </row>
    <row r="35" spans="1:23" ht="12" customHeight="1">
      <c r="A35" s="29"/>
      <c r="B35" s="145" t="str">
        <f>UPPER(LEFT(TRIM(Data!B38),1)) &amp; MID(TRIM(Data!B38),2,50)</f>
        <v>Nepatikslintos lokalizacijos</v>
      </c>
      <c r="C35" s="174" t="str">
        <f>Data!C38</f>
        <v>C76-C80</v>
      </c>
      <c r="D35" s="175">
        <f>Data!AN38</f>
        <v>0</v>
      </c>
      <c r="E35" s="175">
        <f>Data!AO38</f>
        <v>0</v>
      </c>
      <c r="F35" s="175">
        <f>Data!AP38</f>
        <v>0</v>
      </c>
      <c r="G35" s="175">
        <f>Data!AQ38</f>
        <v>0</v>
      </c>
      <c r="H35" s="175">
        <f>Data!AR38</f>
        <v>0</v>
      </c>
      <c r="I35" s="175">
        <f>Data!AS38</f>
        <v>0</v>
      </c>
      <c r="J35" s="175">
        <f>Data!AT38</f>
        <v>0</v>
      </c>
      <c r="K35" s="175">
        <f>Data!AU38</f>
        <v>1</v>
      </c>
      <c r="L35" s="175">
        <f>Data!AV38</f>
        <v>1</v>
      </c>
      <c r="M35" s="175">
        <f>Data!AW38</f>
        <v>0</v>
      </c>
      <c r="N35" s="175">
        <f>Data!AX38</f>
        <v>9</v>
      </c>
      <c r="O35" s="175">
        <f>Data!AY38</f>
        <v>33</v>
      </c>
      <c r="P35" s="175">
        <f>Data!AZ38</f>
        <v>27</v>
      </c>
      <c r="Q35" s="175">
        <f>Data!BA38</f>
        <v>35</v>
      </c>
      <c r="R35" s="175">
        <f>Data!BB38</f>
        <v>34</v>
      </c>
      <c r="S35" s="175">
        <f>Data!BC38</f>
        <v>30</v>
      </c>
      <c r="T35" s="175">
        <f>Data!BD38</f>
        <v>21</v>
      </c>
      <c r="U35" s="175">
        <f>Data!BE38</f>
        <v>16</v>
      </c>
      <c r="V35" s="171">
        <f t="shared" si="0"/>
        <v>207</v>
      </c>
      <c r="W35" s="30"/>
    </row>
    <row r="36" spans="1:23" ht="12" customHeight="1">
      <c r="A36" s="29"/>
      <c r="B36" s="150" t="str">
        <f>UPPER(LEFT(TRIM(Data!B39),1)) &amp; MID(TRIM(Data!B39),2,50)</f>
        <v>Hodžkino limfomos</v>
      </c>
      <c r="C36" s="150" t="str">
        <f>Data!C39</f>
        <v>C81</v>
      </c>
      <c r="D36" s="169">
        <f>Data!AN39</f>
        <v>0</v>
      </c>
      <c r="E36" s="169">
        <f>Data!AO39</f>
        <v>0</v>
      </c>
      <c r="F36" s="169">
        <f>Data!AP39</f>
        <v>0</v>
      </c>
      <c r="G36" s="169">
        <f>Data!AQ39</f>
        <v>0</v>
      </c>
      <c r="H36" s="169">
        <f>Data!AR39</f>
        <v>0</v>
      </c>
      <c r="I36" s="169">
        <f>Data!AS39</f>
        <v>0</v>
      </c>
      <c r="J36" s="169">
        <f>Data!AT39</f>
        <v>0</v>
      </c>
      <c r="K36" s="169">
        <f>Data!AU39</f>
        <v>0</v>
      </c>
      <c r="L36" s="169">
        <f>Data!AV39</f>
        <v>2</v>
      </c>
      <c r="M36" s="169">
        <f>Data!AW39</f>
        <v>0</v>
      </c>
      <c r="N36" s="169">
        <f>Data!AX39</f>
        <v>0</v>
      </c>
      <c r="O36" s="169">
        <f>Data!AY39</f>
        <v>1</v>
      </c>
      <c r="P36" s="169">
        <f>Data!AZ39</f>
        <v>0</v>
      </c>
      <c r="Q36" s="169">
        <f>Data!BA39</f>
        <v>1</v>
      </c>
      <c r="R36" s="169">
        <f>Data!BB39</f>
        <v>1</v>
      </c>
      <c r="S36" s="169">
        <f>Data!BC39</f>
        <v>0</v>
      </c>
      <c r="T36" s="169">
        <f>Data!BD39</f>
        <v>2</v>
      </c>
      <c r="U36" s="169">
        <f>Data!BE39</f>
        <v>2</v>
      </c>
      <c r="V36" s="169">
        <f t="shared" si="0"/>
        <v>9</v>
      </c>
      <c r="W36" s="30"/>
    </row>
    <row r="37" spans="1:23" ht="12" customHeight="1">
      <c r="A37" s="29"/>
      <c r="B37" s="145" t="str">
        <f>UPPER(LEFT(TRIM(Data!B40),1)) &amp; MID(TRIM(Data!B40),2,50)</f>
        <v>Ne Hodžkino limfomos</v>
      </c>
      <c r="C37" s="174" t="str">
        <f>Data!C40</f>
        <v>C82-C85</v>
      </c>
      <c r="D37" s="175">
        <f>Data!AN40</f>
        <v>0</v>
      </c>
      <c r="E37" s="175">
        <f>Data!AO40</f>
        <v>0</v>
      </c>
      <c r="F37" s="175">
        <f>Data!AP40</f>
        <v>0</v>
      </c>
      <c r="G37" s="175">
        <f>Data!AQ40</f>
        <v>0</v>
      </c>
      <c r="H37" s="175">
        <f>Data!AR40</f>
        <v>0</v>
      </c>
      <c r="I37" s="175">
        <f>Data!AS40</f>
        <v>0</v>
      </c>
      <c r="J37" s="175">
        <f>Data!AT40</f>
        <v>1</v>
      </c>
      <c r="K37" s="175">
        <f>Data!AU40</f>
        <v>3</v>
      </c>
      <c r="L37" s="175">
        <f>Data!AV40</f>
        <v>0</v>
      </c>
      <c r="M37" s="175">
        <f>Data!AW40</f>
        <v>0</v>
      </c>
      <c r="N37" s="175">
        <f>Data!AX40</f>
        <v>5</v>
      </c>
      <c r="O37" s="175">
        <f>Data!AY40</f>
        <v>5</v>
      </c>
      <c r="P37" s="175">
        <f>Data!AZ40</f>
        <v>10</v>
      </c>
      <c r="Q37" s="175">
        <f>Data!BA40</f>
        <v>14</v>
      </c>
      <c r="R37" s="175">
        <f>Data!BB40</f>
        <v>9</v>
      </c>
      <c r="S37" s="175">
        <f>Data!BC40</f>
        <v>6</v>
      </c>
      <c r="T37" s="175">
        <f>Data!BD40</f>
        <v>13</v>
      </c>
      <c r="U37" s="175">
        <f>Data!BE40</f>
        <v>8</v>
      </c>
      <c r="V37" s="171">
        <f t="shared" si="0"/>
        <v>74</v>
      </c>
      <c r="W37" s="30"/>
    </row>
    <row r="38" spans="1:23" ht="12" customHeight="1">
      <c r="A38" s="29"/>
      <c r="B38" s="150" t="str">
        <f>UPPER(LEFT(TRIM(Data!B41),1)) &amp; MID(TRIM(Data!B41),2,50)</f>
        <v>Mielominės ligos</v>
      </c>
      <c r="C38" s="150" t="str">
        <f>Data!C41</f>
        <v>C90</v>
      </c>
      <c r="D38" s="169">
        <f>Data!AN41</f>
        <v>0</v>
      </c>
      <c r="E38" s="169">
        <f>Data!AO41</f>
        <v>0</v>
      </c>
      <c r="F38" s="169">
        <f>Data!AP41</f>
        <v>0</v>
      </c>
      <c r="G38" s="169">
        <f>Data!AQ41</f>
        <v>0</v>
      </c>
      <c r="H38" s="169">
        <f>Data!AR41</f>
        <v>0</v>
      </c>
      <c r="I38" s="169">
        <f>Data!AS41</f>
        <v>0</v>
      </c>
      <c r="J38" s="169">
        <f>Data!AT41</f>
        <v>0</v>
      </c>
      <c r="K38" s="169">
        <f>Data!AU41</f>
        <v>0</v>
      </c>
      <c r="L38" s="169">
        <f>Data!AV41</f>
        <v>0</v>
      </c>
      <c r="M38" s="169">
        <f>Data!AW41</f>
        <v>1</v>
      </c>
      <c r="N38" s="169">
        <f>Data!AX41</f>
        <v>2</v>
      </c>
      <c r="O38" s="169">
        <f>Data!AY41</f>
        <v>4</v>
      </c>
      <c r="P38" s="169">
        <f>Data!AZ41</f>
        <v>2</v>
      </c>
      <c r="Q38" s="169">
        <f>Data!BA41</f>
        <v>6</v>
      </c>
      <c r="R38" s="169">
        <f>Data!BB41</f>
        <v>10</v>
      </c>
      <c r="S38" s="169">
        <f>Data!BC41</f>
        <v>7</v>
      </c>
      <c r="T38" s="169">
        <f>Data!BD41</f>
        <v>7</v>
      </c>
      <c r="U38" s="169">
        <f>Data!BE41</f>
        <v>7</v>
      </c>
      <c r="V38" s="169">
        <f t="shared" si="0"/>
        <v>46</v>
      </c>
      <c r="W38" s="30"/>
    </row>
    <row r="39" spans="1:23" ht="12" customHeight="1">
      <c r="A39" s="29"/>
      <c r="B39" s="145" t="str">
        <f>UPPER(LEFT(TRIM(Data!B42),1)) &amp; MID(TRIM(Data!B42),2,50)</f>
        <v>Leukemijos</v>
      </c>
      <c r="C39" s="174" t="str">
        <f>Data!C42</f>
        <v>C91-C95</v>
      </c>
      <c r="D39" s="175">
        <f>Data!AN42</f>
        <v>2</v>
      </c>
      <c r="E39" s="175">
        <f>Data!AO42</f>
        <v>0</v>
      </c>
      <c r="F39" s="175">
        <f>Data!AP42</f>
        <v>0</v>
      </c>
      <c r="G39" s="175">
        <f>Data!AQ42</f>
        <v>0</v>
      </c>
      <c r="H39" s="175">
        <f>Data!AR42</f>
        <v>0</v>
      </c>
      <c r="I39" s="175">
        <f>Data!AS42</f>
        <v>0</v>
      </c>
      <c r="J39" s="175">
        <f>Data!AT42</f>
        <v>1</v>
      </c>
      <c r="K39" s="175">
        <f>Data!AU42</f>
        <v>2</v>
      </c>
      <c r="L39" s="175">
        <f>Data!AV42</f>
        <v>1</v>
      </c>
      <c r="M39" s="175">
        <f>Data!AW42</f>
        <v>0</v>
      </c>
      <c r="N39" s="175">
        <f>Data!AX42</f>
        <v>6</v>
      </c>
      <c r="O39" s="175">
        <f>Data!AY42</f>
        <v>10</v>
      </c>
      <c r="P39" s="175">
        <f>Data!AZ42</f>
        <v>13</v>
      </c>
      <c r="Q39" s="175">
        <f>Data!BA42</f>
        <v>12</v>
      </c>
      <c r="R39" s="175">
        <f>Data!BB42</f>
        <v>22</v>
      </c>
      <c r="S39" s="175">
        <f>Data!BC42</f>
        <v>26</v>
      </c>
      <c r="T39" s="175">
        <f>Data!BD42</f>
        <v>22</v>
      </c>
      <c r="U39" s="175">
        <f>Data!BE42</f>
        <v>17</v>
      </c>
      <c r="V39" s="171">
        <f t="shared" si="0"/>
        <v>134</v>
      </c>
      <c r="W39" s="30"/>
    </row>
    <row r="40" spans="1:23" ht="12" customHeight="1">
      <c r="A40" s="29"/>
      <c r="B40" s="150" t="str">
        <f>UPPER(LEFT(TRIM(Data!B43),1)) &amp; MID(TRIM(Data!B43),2,50)</f>
        <v>Kiti limfinio, kraujodaros audinių</v>
      </c>
      <c r="C40" s="150" t="str">
        <f>Data!C43</f>
        <v>C88, C96</v>
      </c>
      <c r="D40" s="169">
        <f>Data!AN43</f>
        <v>0</v>
      </c>
      <c r="E40" s="169">
        <f>Data!AO43</f>
        <v>0</v>
      </c>
      <c r="F40" s="169">
        <f>Data!AP43</f>
        <v>0</v>
      </c>
      <c r="G40" s="169">
        <f>Data!AQ43</f>
        <v>0</v>
      </c>
      <c r="H40" s="169">
        <f>Data!AR43</f>
        <v>0</v>
      </c>
      <c r="I40" s="169">
        <f>Data!AS43</f>
        <v>0</v>
      </c>
      <c r="J40" s="169">
        <f>Data!AT43</f>
        <v>0</v>
      </c>
      <c r="K40" s="169">
        <f>Data!AU43</f>
        <v>0</v>
      </c>
      <c r="L40" s="169">
        <f>Data!AV43</f>
        <v>0</v>
      </c>
      <c r="M40" s="169">
        <f>Data!AW43</f>
        <v>0</v>
      </c>
      <c r="N40" s="169">
        <f>Data!AX43</f>
        <v>0</v>
      </c>
      <c r="O40" s="169">
        <f>Data!AY43</f>
        <v>0</v>
      </c>
      <c r="P40" s="169">
        <f>Data!AZ43</f>
        <v>0</v>
      </c>
      <c r="Q40" s="169">
        <f>Data!BA43</f>
        <v>1</v>
      </c>
      <c r="R40" s="169">
        <f>Data!BB43</f>
        <v>0</v>
      </c>
      <c r="S40" s="169">
        <f>Data!BC43</f>
        <v>1</v>
      </c>
      <c r="T40" s="169">
        <f>Data!BD43</f>
        <v>0</v>
      </c>
      <c r="U40" s="169">
        <f>Data!BE43</f>
        <v>1</v>
      </c>
      <c r="V40" s="169">
        <f t="shared" si="0"/>
        <v>3</v>
      </c>
      <c r="W40" s="30"/>
    </row>
    <row r="41" spans="1:23" ht="22.5" customHeight="1">
      <c r="A41" s="29"/>
      <c r="B41" s="100"/>
      <c r="C41" s="117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30"/>
    </row>
    <row r="42" spans="1:23" ht="11.25" customHeight="1">
      <c r="A42" s="29"/>
      <c r="B42" s="97" t="str">
        <f>UPPER(LEFT(TRIM(Data!B44),1)) &amp; MID(TRIM(Data!B44),2,50)</f>
        <v>Melanoma in situ</v>
      </c>
      <c r="C42" s="97" t="str">
        <f>Data!C44</f>
        <v>D03</v>
      </c>
      <c r="D42" s="114">
        <f>Data!AN44</f>
        <v>0</v>
      </c>
      <c r="E42" s="114">
        <f>Data!AO44</f>
        <v>0</v>
      </c>
      <c r="F42" s="114">
        <f>Data!AP44</f>
        <v>0</v>
      </c>
      <c r="G42" s="114">
        <f>Data!AQ44</f>
        <v>0</v>
      </c>
      <c r="H42" s="114">
        <f>Data!AR44</f>
        <v>0</v>
      </c>
      <c r="I42" s="114">
        <f>Data!AS44</f>
        <v>0</v>
      </c>
      <c r="J42" s="114">
        <f>Data!AT44</f>
        <v>0</v>
      </c>
      <c r="K42" s="114">
        <f>Data!AU44</f>
        <v>0</v>
      </c>
      <c r="L42" s="114">
        <f>Data!AV44</f>
        <v>0</v>
      </c>
      <c r="M42" s="114">
        <f>Data!AW44</f>
        <v>0</v>
      </c>
      <c r="N42" s="114">
        <f>Data!AX44</f>
        <v>0</v>
      </c>
      <c r="O42" s="114">
        <f>Data!AY44</f>
        <v>0</v>
      </c>
      <c r="P42" s="114">
        <f>Data!AZ44</f>
        <v>0</v>
      </c>
      <c r="Q42" s="114">
        <f>Data!BA44</f>
        <v>0</v>
      </c>
      <c r="R42" s="114">
        <f>Data!BB44</f>
        <v>0</v>
      </c>
      <c r="S42" s="114">
        <f>Data!BC44</f>
        <v>0</v>
      </c>
      <c r="T42" s="114">
        <f>Data!BD44</f>
        <v>0</v>
      </c>
      <c r="U42" s="114">
        <f>Data!BE44</f>
        <v>0</v>
      </c>
      <c r="V42" s="114">
        <f t="shared" si="0"/>
        <v>0</v>
      </c>
      <c r="W42" s="30"/>
    </row>
    <row r="43" spans="1:23" ht="11.25" customHeight="1">
      <c r="A43" s="29"/>
      <c r="B43" s="99" t="str">
        <f>UPPER(LEFT(TRIM(Data!B45),1)) &amp; MID(TRIM(Data!B45),2,50)</f>
        <v>Krūties navikai in situ</v>
      </c>
      <c r="C43" s="115" t="str">
        <f>Data!C45</f>
        <v>D05</v>
      </c>
      <c r="D43" s="116">
        <f>Data!AN45</f>
        <v>0</v>
      </c>
      <c r="E43" s="116">
        <f>Data!AO45</f>
        <v>0</v>
      </c>
      <c r="F43" s="116">
        <f>Data!AP45</f>
        <v>0</v>
      </c>
      <c r="G43" s="116">
        <f>Data!AQ45</f>
        <v>0</v>
      </c>
      <c r="H43" s="116">
        <f>Data!AR45</f>
        <v>0</v>
      </c>
      <c r="I43" s="116">
        <f>Data!AS45</f>
        <v>0</v>
      </c>
      <c r="J43" s="116">
        <f>Data!AT45</f>
        <v>0</v>
      </c>
      <c r="K43" s="116">
        <f>Data!AU45</f>
        <v>0</v>
      </c>
      <c r="L43" s="116">
        <f>Data!AV45</f>
        <v>0</v>
      </c>
      <c r="M43" s="116">
        <f>Data!AW45</f>
        <v>0</v>
      </c>
      <c r="N43" s="116">
        <f>Data!AX45</f>
        <v>0</v>
      </c>
      <c r="O43" s="116">
        <f>Data!AY45</f>
        <v>0</v>
      </c>
      <c r="P43" s="116">
        <f>Data!AZ45</f>
        <v>0</v>
      </c>
      <c r="Q43" s="116">
        <f>Data!BA45</f>
        <v>0</v>
      </c>
      <c r="R43" s="116">
        <f>Data!BB45</f>
        <v>0</v>
      </c>
      <c r="S43" s="116">
        <f>Data!BC45</f>
        <v>0</v>
      </c>
      <c r="T43" s="116">
        <f>Data!BD45</f>
        <v>0</v>
      </c>
      <c r="U43" s="116">
        <f>Data!BE45</f>
        <v>0</v>
      </c>
      <c r="V43" s="123">
        <f t="shared" si="0"/>
        <v>0</v>
      </c>
      <c r="W43" s="30"/>
    </row>
    <row r="44" spans="1:23" ht="11.25" customHeight="1">
      <c r="A44" s="29"/>
      <c r="B44" s="103" t="str">
        <f>UPPER(LEFT(TRIM(Data!B47),1)) &amp; MID(TRIM(Data!B47),2,50)</f>
        <v>Šlapimo pūslės in situ</v>
      </c>
      <c r="C44" s="103" t="str">
        <f>Data!C47</f>
        <v>D09.0</v>
      </c>
      <c r="D44" s="122">
        <f>Data!AN47</f>
        <v>0</v>
      </c>
      <c r="E44" s="122">
        <f>Data!AO47</f>
        <v>0</v>
      </c>
      <c r="F44" s="122">
        <f>Data!AP47</f>
        <v>0</v>
      </c>
      <c r="G44" s="122">
        <f>Data!AQ47</f>
        <v>0</v>
      </c>
      <c r="H44" s="122">
        <f>Data!AR47</f>
        <v>0</v>
      </c>
      <c r="I44" s="122">
        <f>Data!AS47</f>
        <v>0</v>
      </c>
      <c r="J44" s="122">
        <f>Data!AT47</f>
        <v>0</v>
      </c>
      <c r="K44" s="122">
        <f>Data!AU47</f>
        <v>0</v>
      </c>
      <c r="L44" s="122">
        <f>Data!AV47</f>
        <v>0</v>
      </c>
      <c r="M44" s="122">
        <f>Data!AW47</f>
        <v>0</v>
      </c>
      <c r="N44" s="122">
        <f>Data!AX47</f>
        <v>0</v>
      </c>
      <c r="O44" s="122">
        <f>Data!AY47</f>
        <v>0</v>
      </c>
      <c r="P44" s="122">
        <f>Data!AZ47</f>
        <v>0</v>
      </c>
      <c r="Q44" s="122">
        <f>Data!BA47</f>
        <v>0</v>
      </c>
      <c r="R44" s="122">
        <f>Data!BB47</f>
        <v>0</v>
      </c>
      <c r="S44" s="122">
        <f>Data!BC47</f>
        <v>0</v>
      </c>
      <c r="T44" s="122">
        <f>Data!BD47</f>
        <v>0</v>
      </c>
      <c r="U44" s="122">
        <f>Data!BE47</f>
        <v>0</v>
      </c>
      <c r="V44" s="122">
        <f t="shared" si="0"/>
        <v>0</v>
      </c>
      <c r="W44" s="30"/>
    </row>
    <row r="45" spans="1:23" ht="11.25" customHeight="1">
      <c r="A45" s="29"/>
      <c r="B45" s="99" t="str">
        <f>UPPER(LEFT(TRIM(Data!B48),1)) &amp; MID(TRIM(Data!B48),2,50)</f>
        <v>Nervų sistemos gerybiniai navikai</v>
      </c>
      <c r="C45" s="115" t="str">
        <f>Data!C48</f>
        <v>D32, D33</v>
      </c>
      <c r="D45" s="116">
        <f>Data!AN48</f>
        <v>0</v>
      </c>
      <c r="E45" s="116">
        <f>Data!AO48</f>
        <v>0</v>
      </c>
      <c r="F45" s="116">
        <f>Data!AP48</f>
        <v>0</v>
      </c>
      <c r="G45" s="116">
        <f>Data!AQ48</f>
        <v>0</v>
      </c>
      <c r="H45" s="116">
        <f>Data!AR48</f>
        <v>0</v>
      </c>
      <c r="I45" s="116">
        <f>Data!AS48</f>
        <v>0</v>
      </c>
      <c r="J45" s="116">
        <f>Data!AT48</f>
        <v>1</v>
      </c>
      <c r="K45" s="116">
        <f>Data!AU48</f>
        <v>0</v>
      </c>
      <c r="L45" s="116">
        <f>Data!AV48</f>
        <v>0</v>
      </c>
      <c r="M45" s="116">
        <f>Data!AW48</f>
        <v>1</v>
      </c>
      <c r="N45" s="116">
        <f>Data!AX48</f>
        <v>0</v>
      </c>
      <c r="O45" s="116">
        <f>Data!AY48</f>
        <v>2</v>
      </c>
      <c r="P45" s="116">
        <f>Data!AZ48</f>
        <v>0</v>
      </c>
      <c r="Q45" s="116">
        <f>Data!BA48</f>
        <v>0</v>
      </c>
      <c r="R45" s="116">
        <f>Data!BB48</f>
        <v>1</v>
      </c>
      <c r="S45" s="116">
        <f>Data!BC48</f>
        <v>4</v>
      </c>
      <c r="T45" s="116">
        <f>Data!BD48</f>
        <v>1</v>
      </c>
      <c r="U45" s="116">
        <f>Data!BE48</f>
        <v>2</v>
      </c>
      <c r="V45" s="123">
        <f t="shared" si="0"/>
        <v>12</v>
      </c>
      <c r="W45" s="30"/>
    </row>
    <row r="46" spans="1:23" ht="11.25" customHeight="1">
      <c r="A46" s="29"/>
      <c r="B46" s="103" t="str">
        <f>UPPER(LEFT(TRIM(Data!B50),1)) &amp; MID(TRIM(Data!B50),2,50)</f>
        <v>Kiti nervų sistemos</v>
      </c>
      <c r="C46" s="103" t="str">
        <f>Data!C50</f>
        <v>D42, D43</v>
      </c>
      <c r="D46" s="122">
        <f>Data!AN50</f>
        <v>0</v>
      </c>
      <c r="E46" s="122">
        <f>Data!AO50</f>
        <v>0</v>
      </c>
      <c r="F46" s="122">
        <f>Data!AP50</f>
        <v>0</v>
      </c>
      <c r="G46" s="122">
        <f>Data!AQ50</f>
        <v>0</v>
      </c>
      <c r="H46" s="122">
        <f>Data!AR50</f>
        <v>0</v>
      </c>
      <c r="I46" s="122">
        <f>Data!AS50</f>
        <v>0</v>
      </c>
      <c r="J46" s="122">
        <f>Data!AT50</f>
        <v>1</v>
      </c>
      <c r="K46" s="122">
        <f>Data!AU50</f>
        <v>0</v>
      </c>
      <c r="L46" s="122">
        <f>Data!AV50</f>
        <v>0</v>
      </c>
      <c r="M46" s="122">
        <f>Data!AW50</f>
        <v>0</v>
      </c>
      <c r="N46" s="122">
        <f>Data!AX50</f>
        <v>1</v>
      </c>
      <c r="O46" s="122">
        <f>Data!AY50</f>
        <v>0</v>
      </c>
      <c r="P46" s="122">
        <f>Data!AZ50</f>
        <v>0</v>
      </c>
      <c r="Q46" s="122">
        <f>Data!BA50</f>
        <v>0</v>
      </c>
      <c r="R46" s="122">
        <f>Data!BB50</f>
        <v>0</v>
      </c>
      <c r="S46" s="122">
        <f>Data!BC50</f>
        <v>2</v>
      </c>
      <c r="T46" s="122">
        <f>Data!BD50</f>
        <v>1</v>
      </c>
      <c r="U46" s="122">
        <f>Data!BE50</f>
        <v>0</v>
      </c>
      <c r="V46" s="122">
        <f t="shared" si="0"/>
        <v>5</v>
      </c>
      <c r="W46" s="30"/>
    </row>
    <row r="47" spans="1:23" ht="11.25" customHeight="1">
      <c r="A47" s="29"/>
      <c r="B47" s="99" t="str">
        <f>UPPER(LEFT(TRIM(Data!B51),1)) &amp; MID(TRIM(Data!B51),2,50)</f>
        <v>Limfinio ir kraujodaros audinių</v>
      </c>
      <c r="C47" s="115" t="str">
        <f>Data!C51</f>
        <v>D45-D47</v>
      </c>
      <c r="D47" s="116">
        <f>Data!AN51</f>
        <v>1</v>
      </c>
      <c r="E47" s="116">
        <f>Data!AO51</f>
        <v>0</v>
      </c>
      <c r="F47" s="116">
        <f>Data!AP51</f>
        <v>0</v>
      </c>
      <c r="G47" s="116">
        <f>Data!AQ51</f>
        <v>0</v>
      </c>
      <c r="H47" s="116">
        <f>Data!AR51</f>
        <v>1</v>
      </c>
      <c r="I47" s="116">
        <f>Data!AS51</f>
        <v>0</v>
      </c>
      <c r="J47" s="116">
        <f>Data!AT51</f>
        <v>0</v>
      </c>
      <c r="K47" s="116">
        <f>Data!AU51</f>
        <v>0</v>
      </c>
      <c r="L47" s="116">
        <f>Data!AV51</f>
        <v>0</v>
      </c>
      <c r="M47" s="116">
        <f>Data!AW51</f>
        <v>0</v>
      </c>
      <c r="N47" s="116">
        <f>Data!AX51</f>
        <v>2</v>
      </c>
      <c r="O47" s="116">
        <f>Data!AY51</f>
        <v>2</v>
      </c>
      <c r="P47" s="116">
        <f>Data!AZ51</f>
        <v>2</v>
      </c>
      <c r="Q47" s="116">
        <f>Data!BA51</f>
        <v>3</v>
      </c>
      <c r="R47" s="116">
        <f>Data!BB51</f>
        <v>6</v>
      </c>
      <c r="S47" s="116">
        <f>Data!BC51</f>
        <v>9</v>
      </c>
      <c r="T47" s="116">
        <f>Data!BD51</f>
        <v>5</v>
      </c>
      <c r="U47" s="116">
        <f>Data!BE51</f>
        <v>4</v>
      </c>
      <c r="V47" s="123">
        <f t="shared" si="0"/>
        <v>35</v>
      </c>
      <c r="W47" s="30"/>
    </row>
    <row r="48" spans="1:23" ht="11.2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3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</sheetData>
  <mergeCells count="4">
    <mergeCell ref="B4:B5"/>
    <mergeCell ref="C4:C5"/>
    <mergeCell ref="D4:U4"/>
    <mergeCell ref="V4:V5"/>
  </mergeCells>
  <phoneticPr fontId="13" type="noConversion"/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AA54"/>
  <sheetViews>
    <sheetView workbookViewId="0">
      <selection activeCell="H1" sqref="H1"/>
    </sheetView>
  </sheetViews>
  <sheetFormatPr defaultRowHeight="12.75"/>
  <cols>
    <col min="1" max="1" width="1.85546875" customWidth="1"/>
    <col min="2" max="2" width="28.7109375" customWidth="1"/>
    <col min="3" max="3" width="23.7109375" customWidth="1"/>
    <col min="4" max="22" width="6" customWidth="1"/>
    <col min="23" max="34" width="0.85546875" customWidth="1"/>
  </cols>
  <sheetData>
    <row r="1" spans="1:23" ht="15">
      <c r="A1" s="429"/>
      <c r="B1" s="430" t="s">
        <v>403</v>
      </c>
      <c r="C1" s="429"/>
      <c r="D1" s="429"/>
      <c r="E1" s="429"/>
      <c r="F1" s="429"/>
      <c r="G1" s="429"/>
      <c r="H1" s="429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7"/>
    </row>
    <row r="2" spans="1:23">
      <c r="A2" s="429"/>
      <c r="B2" s="454" t="str">
        <f>"Mirčių dėl piktybinių navikų, atvejų skaičius pagal amžiaus grupes  " &amp; GrafikaiSerg!A1 &amp; " metais. Moterys."</f>
        <v>Mirčių dėl piktybinių navikų, atvejų skaičius pagal amžiaus grupes  2015 metais. Moterys.</v>
      </c>
      <c r="C2" s="454"/>
      <c r="D2" s="429"/>
      <c r="E2" s="466"/>
      <c r="F2" s="429"/>
      <c r="G2" s="429"/>
      <c r="H2" s="429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7"/>
    </row>
    <row r="3" spans="1:23">
      <c r="A3" s="65"/>
      <c r="B3" s="70" t="s">
        <v>623</v>
      </c>
      <c r="C3" s="69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7"/>
    </row>
    <row r="4" spans="1:23" ht="12.95" customHeight="1">
      <c r="A4" s="65"/>
      <c r="B4" s="524" t="s">
        <v>243</v>
      </c>
      <c r="C4" s="524" t="s">
        <v>244</v>
      </c>
      <c r="D4" s="529" t="s">
        <v>419</v>
      </c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28"/>
      <c r="V4" s="534" t="s">
        <v>427</v>
      </c>
      <c r="W4" s="67"/>
    </row>
    <row r="5" spans="1:23" s="27" customFormat="1" ht="12.95" customHeight="1" thickBot="1">
      <c r="A5" s="65"/>
      <c r="B5" s="525"/>
      <c r="C5" s="525"/>
      <c r="D5" s="173" t="s">
        <v>13</v>
      </c>
      <c r="E5" s="173" t="s">
        <v>11</v>
      </c>
      <c r="F5" s="173" t="s">
        <v>12</v>
      </c>
      <c r="G5" s="173" t="s">
        <v>14</v>
      </c>
      <c r="H5" s="173" t="s">
        <v>15</v>
      </c>
      <c r="I5" s="173" t="s">
        <v>16</v>
      </c>
      <c r="J5" s="173" t="s">
        <v>158</v>
      </c>
      <c r="K5" s="173" t="s">
        <v>17</v>
      </c>
      <c r="L5" s="173" t="s">
        <v>18</v>
      </c>
      <c r="M5" s="173" t="s">
        <v>19</v>
      </c>
      <c r="N5" s="173" t="s">
        <v>20</v>
      </c>
      <c r="O5" s="173" t="s">
        <v>21</v>
      </c>
      <c r="P5" s="173" t="s">
        <v>159</v>
      </c>
      <c r="Q5" s="173" t="s">
        <v>160</v>
      </c>
      <c r="R5" s="173" t="s">
        <v>161</v>
      </c>
      <c r="S5" s="173" t="s">
        <v>162</v>
      </c>
      <c r="T5" s="173" t="s">
        <v>22</v>
      </c>
      <c r="U5" s="173" t="s">
        <v>23</v>
      </c>
      <c r="V5" s="535"/>
      <c r="W5" s="65"/>
    </row>
    <row r="6" spans="1:23" s="27" customFormat="1" ht="12" customHeight="1" thickTop="1">
      <c r="A6" s="65"/>
      <c r="B6" s="150" t="str">
        <f>UPPER(LEFT(TRIM(Data!B5),1)) &amp; MID(TRIM(Data!B5),2,50)</f>
        <v>Piktybiniai navikai</v>
      </c>
      <c r="C6" s="150" t="str">
        <f>Data!C5</f>
        <v>C00-C96</v>
      </c>
      <c r="D6" s="169">
        <f>Data!DA5</f>
        <v>2</v>
      </c>
      <c r="E6" s="169">
        <f>Data!DB5</f>
        <v>2</v>
      </c>
      <c r="F6" s="169">
        <f>Data!DC5</f>
        <v>1</v>
      </c>
      <c r="G6" s="169">
        <f>Data!DD5</f>
        <v>3</v>
      </c>
      <c r="H6" s="169">
        <f>Data!DE5</f>
        <v>1</v>
      </c>
      <c r="I6" s="169">
        <f>Data!DF5</f>
        <v>4</v>
      </c>
      <c r="J6" s="169">
        <f>Data!DG5</f>
        <v>16</v>
      </c>
      <c r="K6" s="169">
        <f>Data!DH5</f>
        <v>30</v>
      </c>
      <c r="L6" s="169">
        <f>Data!DI5</f>
        <v>78</v>
      </c>
      <c r="M6" s="169">
        <f>Data!DJ5</f>
        <v>111</v>
      </c>
      <c r="N6" s="169">
        <f>Data!DK5</f>
        <v>199</v>
      </c>
      <c r="O6" s="169">
        <f>Data!DL5</f>
        <v>265</v>
      </c>
      <c r="P6" s="169">
        <f>Data!DM5</f>
        <v>344</v>
      </c>
      <c r="Q6" s="169">
        <f>Data!DN5</f>
        <v>425</v>
      </c>
      <c r="R6" s="169">
        <f>Data!DO5</f>
        <v>463</v>
      </c>
      <c r="S6" s="169">
        <f>Data!DP5</f>
        <v>582</v>
      </c>
      <c r="T6" s="169">
        <f>Data!DQ5</f>
        <v>637</v>
      </c>
      <c r="U6" s="169">
        <f>Data!DR5</f>
        <v>539</v>
      </c>
      <c r="V6" s="169">
        <f>SUM(D6:U6)</f>
        <v>3702</v>
      </c>
      <c r="W6" s="65"/>
    </row>
    <row r="7" spans="1:23" s="27" customFormat="1" ht="12" customHeight="1">
      <c r="A7" s="65"/>
      <c r="B7" s="151" t="str">
        <f>UPPER(LEFT(TRIM(Data!B6),1)) &amp; MID(TRIM(Data!B6),2,50)</f>
        <v>Lūpos</v>
      </c>
      <c r="C7" s="177" t="str">
        <f>Data!C6</f>
        <v>C00</v>
      </c>
      <c r="D7" s="171">
        <f>Data!DA6</f>
        <v>0</v>
      </c>
      <c r="E7" s="171">
        <f>Data!DB6</f>
        <v>0</v>
      </c>
      <c r="F7" s="171">
        <f>Data!DC6</f>
        <v>0</v>
      </c>
      <c r="G7" s="171">
        <f>Data!DD6</f>
        <v>0</v>
      </c>
      <c r="H7" s="171">
        <f>Data!DE6</f>
        <v>0</v>
      </c>
      <c r="I7" s="171">
        <f>Data!DF6</f>
        <v>0</v>
      </c>
      <c r="J7" s="171">
        <f>Data!DG6</f>
        <v>0</v>
      </c>
      <c r="K7" s="171">
        <f>Data!DH6</f>
        <v>0</v>
      </c>
      <c r="L7" s="171">
        <f>Data!DI6</f>
        <v>0</v>
      </c>
      <c r="M7" s="171">
        <f>Data!DJ6</f>
        <v>0</v>
      </c>
      <c r="N7" s="171">
        <f>Data!DK6</f>
        <v>0</v>
      </c>
      <c r="O7" s="171">
        <f>Data!DL6</f>
        <v>0</v>
      </c>
      <c r="P7" s="171">
        <f>Data!DM6</f>
        <v>0</v>
      </c>
      <c r="Q7" s="171">
        <f>Data!DN6</f>
        <v>0</v>
      </c>
      <c r="R7" s="171">
        <f>Data!DO6</f>
        <v>0</v>
      </c>
      <c r="S7" s="171">
        <f>Data!DP6</f>
        <v>0</v>
      </c>
      <c r="T7" s="171">
        <f>Data!DQ6</f>
        <v>0</v>
      </c>
      <c r="U7" s="171">
        <f>Data!DR6</f>
        <v>2</v>
      </c>
      <c r="V7" s="171">
        <f>SUM(D7:U7)</f>
        <v>2</v>
      </c>
      <c r="W7" s="65"/>
    </row>
    <row r="8" spans="1:23" s="27" customFormat="1" ht="12" customHeight="1">
      <c r="A8" s="65"/>
      <c r="B8" s="150" t="str">
        <f>UPPER(LEFT(TRIM(Data!B7),1)) &amp; MID(TRIM(Data!B7),2,50)</f>
        <v>Burnos ertmės ir ryklės</v>
      </c>
      <c r="C8" s="150" t="str">
        <f>Data!C7</f>
        <v>C01-C14</v>
      </c>
      <c r="D8" s="169">
        <f>Data!DA7</f>
        <v>0</v>
      </c>
      <c r="E8" s="169">
        <f>Data!DB7</f>
        <v>0</v>
      </c>
      <c r="F8" s="169">
        <f>Data!DC7</f>
        <v>0</v>
      </c>
      <c r="G8" s="169">
        <f>Data!DD7</f>
        <v>0</v>
      </c>
      <c r="H8" s="169">
        <f>Data!DE7</f>
        <v>0</v>
      </c>
      <c r="I8" s="169">
        <f>Data!DF7</f>
        <v>0</v>
      </c>
      <c r="J8" s="169">
        <f>Data!DG7</f>
        <v>0</v>
      </c>
      <c r="K8" s="169">
        <f>Data!DH7</f>
        <v>0</v>
      </c>
      <c r="L8" s="169">
        <f>Data!DI7</f>
        <v>3</v>
      </c>
      <c r="M8" s="169">
        <f>Data!DJ7</f>
        <v>3</v>
      </c>
      <c r="N8" s="169">
        <f>Data!DK7</f>
        <v>9</v>
      </c>
      <c r="O8" s="169">
        <f>Data!DL7</f>
        <v>6</v>
      </c>
      <c r="P8" s="169">
        <f>Data!DM7</f>
        <v>5</v>
      </c>
      <c r="Q8" s="169">
        <f>Data!DN7</f>
        <v>10</v>
      </c>
      <c r="R8" s="169">
        <f>Data!DO7</f>
        <v>6</v>
      </c>
      <c r="S8" s="169">
        <f>Data!DP7</f>
        <v>4</v>
      </c>
      <c r="T8" s="169">
        <f>Data!DQ7</f>
        <v>2</v>
      </c>
      <c r="U8" s="169">
        <f>Data!DR7</f>
        <v>10</v>
      </c>
      <c r="V8" s="169">
        <f>SUM(D8:U8)</f>
        <v>58</v>
      </c>
      <c r="W8" s="65"/>
    </row>
    <row r="9" spans="1:23" s="27" customFormat="1" ht="12" customHeight="1">
      <c r="A9" s="65"/>
      <c r="B9" s="151" t="str">
        <f>UPPER(LEFT(TRIM(Data!B8),1)) &amp; MID(TRIM(Data!B8),2,50)</f>
        <v>Stemplės</v>
      </c>
      <c r="C9" s="177" t="str">
        <f>Data!C8</f>
        <v>C15</v>
      </c>
      <c r="D9" s="171">
        <f>Data!DA8</f>
        <v>0</v>
      </c>
      <c r="E9" s="171">
        <f>Data!DB8</f>
        <v>0</v>
      </c>
      <c r="F9" s="171">
        <f>Data!DC8</f>
        <v>0</v>
      </c>
      <c r="G9" s="171">
        <f>Data!DD8</f>
        <v>0</v>
      </c>
      <c r="H9" s="171">
        <f>Data!DE8</f>
        <v>0</v>
      </c>
      <c r="I9" s="171">
        <f>Data!DF8</f>
        <v>0</v>
      </c>
      <c r="J9" s="171">
        <f>Data!DG8</f>
        <v>0</v>
      </c>
      <c r="K9" s="171">
        <f>Data!DH8</f>
        <v>0</v>
      </c>
      <c r="L9" s="171">
        <f>Data!DI8</f>
        <v>1</v>
      </c>
      <c r="M9" s="171">
        <f>Data!DJ8</f>
        <v>0</v>
      </c>
      <c r="N9" s="171">
        <f>Data!DK8</f>
        <v>2</v>
      </c>
      <c r="O9" s="171">
        <f>Data!DL8</f>
        <v>6</v>
      </c>
      <c r="P9" s="171">
        <f>Data!DM8</f>
        <v>3</v>
      </c>
      <c r="Q9" s="171">
        <f>Data!DN8</f>
        <v>3</v>
      </c>
      <c r="R9" s="171">
        <f>Data!DO8</f>
        <v>4</v>
      </c>
      <c r="S9" s="171">
        <f>Data!DP8</f>
        <v>1</v>
      </c>
      <c r="T9" s="171">
        <f>Data!DQ8</f>
        <v>5</v>
      </c>
      <c r="U9" s="171">
        <f>Data!DR8</f>
        <v>6</v>
      </c>
      <c r="V9" s="171">
        <f t="shared" ref="V9:V51" si="0">SUM(D9:U9)</f>
        <v>31</v>
      </c>
      <c r="W9" s="65"/>
    </row>
    <row r="10" spans="1:23" s="27" customFormat="1" ht="12" customHeight="1">
      <c r="A10" s="65"/>
      <c r="B10" s="150" t="str">
        <f>UPPER(LEFT(TRIM(Data!B9),1)) &amp; MID(TRIM(Data!B9),2,50)</f>
        <v>Skrandžio</v>
      </c>
      <c r="C10" s="150" t="str">
        <f>Data!C9</f>
        <v>C16</v>
      </c>
      <c r="D10" s="169">
        <f>Data!DA9</f>
        <v>0</v>
      </c>
      <c r="E10" s="169">
        <f>Data!DB9</f>
        <v>0</v>
      </c>
      <c r="F10" s="169">
        <f>Data!DC9</f>
        <v>0</v>
      </c>
      <c r="G10" s="169">
        <f>Data!DD9</f>
        <v>0</v>
      </c>
      <c r="H10" s="169">
        <f>Data!DE9</f>
        <v>0</v>
      </c>
      <c r="I10" s="169">
        <f>Data!DF9</f>
        <v>0</v>
      </c>
      <c r="J10" s="169">
        <f>Data!DG9</f>
        <v>3</v>
      </c>
      <c r="K10" s="169">
        <f>Data!DH9</f>
        <v>5</v>
      </c>
      <c r="L10" s="169">
        <f>Data!DI9</f>
        <v>5</v>
      </c>
      <c r="M10" s="169">
        <f>Data!DJ9</f>
        <v>8</v>
      </c>
      <c r="N10" s="169">
        <f>Data!DK9</f>
        <v>15</v>
      </c>
      <c r="O10" s="169">
        <f>Data!DL9</f>
        <v>18</v>
      </c>
      <c r="P10" s="169">
        <f>Data!DM9</f>
        <v>27</v>
      </c>
      <c r="Q10" s="169">
        <f>Data!DN9</f>
        <v>30</v>
      </c>
      <c r="R10" s="169">
        <f>Data!DO9</f>
        <v>19</v>
      </c>
      <c r="S10" s="169">
        <f>Data!DP9</f>
        <v>38</v>
      </c>
      <c r="T10" s="169">
        <f>Data!DQ9</f>
        <v>52</v>
      </c>
      <c r="U10" s="169">
        <f>Data!DR9</f>
        <v>48</v>
      </c>
      <c r="V10" s="169">
        <f t="shared" si="0"/>
        <v>268</v>
      </c>
      <c r="W10" s="65"/>
    </row>
    <row r="11" spans="1:23" s="27" customFormat="1" ht="12" customHeight="1">
      <c r="A11" s="65"/>
      <c r="B11" s="151" t="str">
        <f>UPPER(LEFT(TRIM(Data!B10),1)) &amp; MID(TRIM(Data!B10),2,50)</f>
        <v>Gaubtinės žarnos</v>
      </c>
      <c r="C11" s="177" t="str">
        <f>Data!C10</f>
        <v>C18</v>
      </c>
      <c r="D11" s="171">
        <f>Data!DA10</f>
        <v>0</v>
      </c>
      <c r="E11" s="171">
        <f>Data!DB10</f>
        <v>0</v>
      </c>
      <c r="F11" s="171">
        <f>Data!DC10</f>
        <v>0</v>
      </c>
      <c r="G11" s="171">
        <f>Data!DD10</f>
        <v>0</v>
      </c>
      <c r="H11" s="171">
        <f>Data!DE10</f>
        <v>0</v>
      </c>
      <c r="I11" s="171">
        <f>Data!DF10</f>
        <v>0</v>
      </c>
      <c r="J11" s="171">
        <f>Data!DG10</f>
        <v>0</v>
      </c>
      <c r="K11" s="171">
        <f>Data!DH10</f>
        <v>0</v>
      </c>
      <c r="L11" s="171">
        <f>Data!DI10</f>
        <v>2</v>
      </c>
      <c r="M11" s="171">
        <f>Data!DJ10</f>
        <v>4</v>
      </c>
      <c r="N11" s="171">
        <f>Data!DK10</f>
        <v>8</v>
      </c>
      <c r="O11" s="171">
        <f>Data!DL10</f>
        <v>9</v>
      </c>
      <c r="P11" s="171">
        <f>Data!DM10</f>
        <v>14</v>
      </c>
      <c r="Q11" s="171">
        <f>Data!DN10</f>
        <v>33</v>
      </c>
      <c r="R11" s="171">
        <f>Data!DO10</f>
        <v>48</v>
      </c>
      <c r="S11" s="171">
        <f>Data!DP10</f>
        <v>48</v>
      </c>
      <c r="T11" s="171">
        <f>Data!DQ10</f>
        <v>61</v>
      </c>
      <c r="U11" s="171">
        <f>Data!DR10</f>
        <v>58</v>
      </c>
      <c r="V11" s="171">
        <f t="shared" si="0"/>
        <v>285</v>
      </c>
      <c r="W11" s="65"/>
    </row>
    <row r="12" spans="1:23" s="27" customFormat="1" ht="12" customHeight="1">
      <c r="A12" s="65"/>
      <c r="B12" s="150" t="str">
        <f>UPPER(LEFT(TRIM(Data!B11),1)) &amp; MID(TRIM(Data!B11),2,50)</f>
        <v>Tiesiosios žarnos, išangės</v>
      </c>
      <c r="C12" s="150" t="str">
        <f>Data!C11</f>
        <v>C19-C21</v>
      </c>
      <c r="D12" s="169">
        <f>Data!DA11</f>
        <v>0</v>
      </c>
      <c r="E12" s="169">
        <f>Data!DB11</f>
        <v>0</v>
      </c>
      <c r="F12" s="169">
        <f>Data!DC11</f>
        <v>0</v>
      </c>
      <c r="G12" s="169">
        <f>Data!DD11</f>
        <v>0</v>
      </c>
      <c r="H12" s="169">
        <f>Data!DE11</f>
        <v>0</v>
      </c>
      <c r="I12" s="169">
        <f>Data!DF11</f>
        <v>0</v>
      </c>
      <c r="J12" s="169">
        <f>Data!DG11</f>
        <v>0</v>
      </c>
      <c r="K12" s="169">
        <f>Data!DH11</f>
        <v>1</v>
      </c>
      <c r="L12" s="169">
        <f>Data!DI11</f>
        <v>0</v>
      </c>
      <c r="M12" s="169">
        <f>Data!DJ11</f>
        <v>4</v>
      </c>
      <c r="N12" s="169">
        <f>Data!DK11</f>
        <v>10</v>
      </c>
      <c r="O12" s="169">
        <f>Data!DL11</f>
        <v>11</v>
      </c>
      <c r="P12" s="169">
        <f>Data!DM11</f>
        <v>23</v>
      </c>
      <c r="Q12" s="169">
        <f>Data!DN11</f>
        <v>19</v>
      </c>
      <c r="R12" s="169">
        <f>Data!DO11</f>
        <v>20</v>
      </c>
      <c r="S12" s="169">
        <f>Data!DP11</f>
        <v>36</v>
      </c>
      <c r="T12" s="169">
        <f>Data!DQ11</f>
        <v>29</v>
      </c>
      <c r="U12" s="169">
        <f>Data!DR11</f>
        <v>35</v>
      </c>
      <c r="V12" s="169">
        <f t="shared" si="0"/>
        <v>188</v>
      </c>
      <c r="W12" s="65"/>
    </row>
    <row r="13" spans="1:23" s="27" customFormat="1" ht="12" customHeight="1">
      <c r="A13" s="65"/>
      <c r="B13" s="151" t="str">
        <f>UPPER(LEFT(TRIM(Data!B12),1)) &amp; MID(TRIM(Data!B12),2,50)</f>
        <v>Kepenų</v>
      </c>
      <c r="C13" s="177" t="str">
        <f>Data!C12</f>
        <v>C22</v>
      </c>
      <c r="D13" s="171">
        <f>Data!DA12</f>
        <v>0</v>
      </c>
      <c r="E13" s="171">
        <f>Data!DB12</f>
        <v>0</v>
      </c>
      <c r="F13" s="171">
        <f>Data!DC12</f>
        <v>0</v>
      </c>
      <c r="G13" s="171">
        <f>Data!DD12</f>
        <v>0</v>
      </c>
      <c r="H13" s="171">
        <f>Data!DE12</f>
        <v>0</v>
      </c>
      <c r="I13" s="171">
        <f>Data!DF12</f>
        <v>0</v>
      </c>
      <c r="J13" s="171">
        <f>Data!DG12</f>
        <v>0</v>
      </c>
      <c r="K13" s="171">
        <f>Data!DH12</f>
        <v>0</v>
      </c>
      <c r="L13" s="171">
        <f>Data!DI12</f>
        <v>1</v>
      </c>
      <c r="M13" s="171">
        <f>Data!DJ12</f>
        <v>1</v>
      </c>
      <c r="N13" s="171">
        <f>Data!DK12</f>
        <v>4</v>
      </c>
      <c r="O13" s="171">
        <f>Data!DL12</f>
        <v>7</v>
      </c>
      <c r="P13" s="171">
        <f>Data!DM12</f>
        <v>4</v>
      </c>
      <c r="Q13" s="171">
        <f>Data!DN12</f>
        <v>11</v>
      </c>
      <c r="R13" s="171">
        <f>Data!DO12</f>
        <v>13</v>
      </c>
      <c r="S13" s="171">
        <f>Data!DP12</f>
        <v>16</v>
      </c>
      <c r="T13" s="171">
        <f>Data!DQ12</f>
        <v>16</v>
      </c>
      <c r="U13" s="171">
        <f>Data!DR12</f>
        <v>12</v>
      </c>
      <c r="V13" s="171">
        <f t="shared" si="0"/>
        <v>85</v>
      </c>
      <c r="W13" s="65"/>
    </row>
    <row r="14" spans="1:23" s="27" customFormat="1" ht="12" customHeight="1">
      <c r="A14" s="65"/>
      <c r="B14" s="150" t="str">
        <f>UPPER(LEFT(TRIM(Data!B13),1)) &amp; MID(TRIM(Data!B13),2,50)</f>
        <v>Tulžies pūslės, ekstrahepatinių takų</v>
      </c>
      <c r="C14" s="150" t="str">
        <f>Data!C13</f>
        <v>C23, C24</v>
      </c>
      <c r="D14" s="169">
        <f>Data!DA13</f>
        <v>0</v>
      </c>
      <c r="E14" s="169">
        <f>Data!DB13</f>
        <v>0</v>
      </c>
      <c r="F14" s="169">
        <f>Data!DC13</f>
        <v>0</v>
      </c>
      <c r="G14" s="169">
        <f>Data!DD13</f>
        <v>0</v>
      </c>
      <c r="H14" s="169">
        <f>Data!DE13</f>
        <v>0</v>
      </c>
      <c r="I14" s="169">
        <f>Data!DF13</f>
        <v>0</v>
      </c>
      <c r="J14" s="169">
        <f>Data!DG13</f>
        <v>0</v>
      </c>
      <c r="K14" s="169">
        <f>Data!DH13</f>
        <v>0</v>
      </c>
      <c r="L14" s="169">
        <f>Data!DI13</f>
        <v>0</v>
      </c>
      <c r="M14" s="169">
        <f>Data!DJ13</f>
        <v>1</v>
      </c>
      <c r="N14" s="169">
        <f>Data!DK13</f>
        <v>1</v>
      </c>
      <c r="O14" s="169">
        <f>Data!DL13</f>
        <v>3</v>
      </c>
      <c r="P14" s="169">
        <f>Data!DM13</f>
        <v>11</v>
      </c>
      <c r="Q14" s="169">
        <f>Data!DN13</f>
        <v>9</v>
      </c>
      <c r="R14" s="169">
        <f>Data!DO13</f>
        <v>8</v>
      </c>
      <c r="S14" s="169">
        <f>Data!DP13</f>
        <v>8</v>
      </c>
      <c r="T14" s="169">
        <f>Data!DQ13</f>
        <v>10</v>
      </c>
      <c r="U14" s="169">
        <f>Data!DR13</f>
        <v>10</v>
      </c>
      <c r="V14" s="169">
        <f t="shared" si="0"/>
        <v>61</v>
      </c>
      <c r="W14" s="65"/>
    </row>
    <row r="15" spans="1:23" s="27" customFormat="1" ht="12" customHeight="1">
      <c r="A15" s="65"/>
      <c r="B15" s="151" t="str">
        <f>UPPER(LEFT(TRIM(Data!B14),1)) &amp; MID(TRIM(Data!B14),2,50)</f>
        <v>Kasos</v>
      </c>
      <c r="C15" s="177" t="str">
        <f>Data!C14</f>
        <v>C25</v>
      </c>
      <c r="D15" s="171">
        <f>Data!DA14</f>
        <v>0</v>
      </c>
      <c r="E15" s="171">
        <f>Data!DB14</f>
        <v>0</v>
      </c>
      <c r="F15" s="171">
        <f>Data!DC14</f>
        <v>0</v>
      </c>
      <c r="G15" s="171">
        <f>Data!DD14</f>
        <v>0</v>
      </c>
      <c r="H15" s="171">
        <f>Data!DE14</f>
        <v>0</v>
      </c>
      <c r="I15" s="171">
        <f>Data!DF14</f>
        <v>1</v>
      </c>
      <c r="J15" s="171">
        <f>Data!DG14</f>
        <v>0</v>
      </c>
      <c r="K15" s="171">
        <f>Data!DH14</f>
        <v>0</v>
      </c>
      <c r="L15" s="171">
        <f>Data!DI14</f>
        <v>0</v>
      </c>
      <c r="M15" s="171">
        <f>Data!DJ14</f>
        <v>5</v>
      </c>
      <c r="N15" s="171">
        <f>Data!DK14</f>
        <v>9</v>
      </c>
      <c r="O15" s="171">
        <f>Data!DL14</f>
        <v>13</v>
      </c>
      <c r="P15" s="171">
        <f>Data!DM14</f>
        <v>18</v>
      </c>
      <c r="Q15" s="171">
        <f>Data!DN14</f>
        <v>31</v>
      </c>
      <c r="R15" s="171">
        <f>Data!DO14</f>
        <v>30</v>
      </c>
      <c r="S15" s="171">
        <f>Data!DP14</f>
        <v>60</v>
      </c>
      <c r="T15" s="171">
        <f>Data!DQ14</f>
        <v>44</v>
      </c>
      <c r="U15" s="171">
        <f>Data!DR14</f>
        <v>32</v>
      </c>
      <c r="V15" s="171">
        <f t="shared" si="0"/>
        <v>243</v>
      </c>
      <c r="W15" s="65"/>
    </row>
    <row r="16" spans="1:23" s="27" customFormat="1" ht="12" customHeight="1">
      <c r="A16" s="65"/>
      <c r="B16" s="150" t="str">
        <f>UPPER(LEFT(TRIM(Data!B15),1)) &amp; MID(TRIM(Data!B15),2,50)</f>
        <v>Kitų virškinimo sistemos organų</v>
      </c>
      <c r="C16" s="150" t="str">
        <f>Data!C15</f>
        <v>C17, C26, C48</v>
      </c>
      <c r="D16" s="169">
        <f>Data!DA15</f>
        <v>0</v>
      </c>
      <c r="E16" s="169">
        <f>Data!DB15</f>
        <v>0</v>
      </c>
      <c r="F16" s="169">
        <f>Data!DC15</f>
        <v>0</v>
      </c>
      <c r="G16" s="169">
        <f>Data!DD15</f>
        <v>0</v>
      </c>
      <c r="H16" s="169">
        <f>Data!DE15</f>
        <v>0</v>
      </c>
      <c r="I16" s="169">
        <f>Data!DF15</f>
        <v>0</v>
      </c>
      <c r="J16" s="169">
        <f>Data!DG15</f>
        <v>0</v>
      </c>
      <c r="K16" s="169">
        <f>Data!DH15</f>
        <v>0</v>
      </c>
      <c r="L16" s="169">
        <f>Data!DI15</f>
        <v>0</v>
      </c>
      <c r="M16" s="169">
        <f>Data!DJ15</f>
        <v>1</v>
      </c>
      <c r="N16" s="169">
        <f>Data!DK15</f>
        <v>2</v>
      </c>
      <c r="O16" s="169">
        <f>Data!DL15</f>
        <v>2</v>
      </c>
      <c r="P16" s="169">
        <f>Data!DM15</f>
        <v>1</v>
      </c>
      <c r="Q16" s="169">
        <f>Data!DN15</f>
        <v>10</v>
      </c>
      <c r="R16" s="169">
        <f>Data!DO15</f>
        <v>2</v>
      </c>
      <c r="S16" s="169">
        <f>Data!DP15</f>
        <v>4</v>
      </c>
      <c r="T16" s="169">
        <f>Data!DQ15</f>
        <v>7</v>
      </c>
      <c r="U16" s="169">
        <f>Data!DR15</f>
        <v>7</v>
      </c>
      <c r="V16" s="169">
        <f t="shared" si="0"/>
        <v>36</v>
      </c>
      <c r="W16" s="65"/>
    </row>
    <row r="17" spans="1:23" s="27" customFormat="1" ht="12" customHeight="1">
      <c r="A17" s="65"/>
      <c r="B17" s="151" t="str">
        <f>UPPER(LEFT(TRIM(Data!B16),1)) &amp; MID(TRIM(Data!B16),2,50)</f>
        <v>Nosies ertmės, vid.ausies ir ančių</v>
      </c>
      <c r="C17" s="177" t="str">
        <f>Data!C16</f>
        <v>C30, C31</v>
      </c>
      <c r="D17" s="171">
        <f>Data!DA16</f>
        <v>0</v>
      </c>
      <c r="E17" s="171">
        <f>Data!DB16</f>
        <v>0</v>
      </c>
      <c r="F17" s="171">
        <f>Data!DC16</f>
        <v>0</v>
      </c>
      <c r="G17" s="171">
        <f>Data!DD16</f>
        <v>0</v>
      </c>
      <c r="H17" s="171">
        <f>Data!DE16</f>
        <v>0</v>
      </c>
      <c r="I17" s="171">
        <f>Data!DF16</f>
        <v>0</v>
      </c>
      <c r="J17" s="171">
        <f>Data!DG16</f>
        <v>0</v>
      </c>
      <c r="K17" s="171">
        <f>Data!DH16</f>
        <v>0</v>
      </c>
      <c r="L17" s="171">
        <f>Data!DI16</f>
        <v>1</v>
      </c>
      <c r="M17" s="171">
        <f>Data!DJ16</f>
        <v>0</v>
      </c>
      <c r="N17" s="171">
        <f>Data!DK16</f>
        <v>0</v>
      </c>
      <c r="O17" s="171">
        <f>Data!DL16</f>
        <v>1</v>
      </c>
      <c r="P17" s="171">
        <f>Data!DM16</f>
        <v>0</v>
      </c>
      <c r="Q17" s="171">
        <f>Data!DN16</f>
        <v>1</v>
      </c>
      <c r="R17" s="171">
        <f>Data!DO16</f>
        <v>1</v>
      </c>
      <c r="S17" s="171">
        <f>Data!DP16</f>
        <v>2</v>
      </c>
      <c r="T17" s="171">
        <f>Data!DQ16</f>
        <v>0</v>
      </c>
      <c r="U17" s="171">
        <f>Data!DR16</f>
        <v>3</v>
      </c>
      <c r="V17" s="171">
        <f t="shared" si="0"/>
        <v>9</v>
      </c>
      <c r="W17" s="65"/>
    </row>
    <row r="18" spans="1:23" s="27" customFormat="1" ht="12" customHeight="1">
      <c r="A18" s="65"/>
      <c r="B18" s="150" t="str">
        <f>UPPER(LEFT(TRIM(Data!B17),1)) &amp; MID(TRIM(Data!B17),2,50)</f>
        <v>Gerklų</v>
      </c>
      <c r="C18" s="150" t="str">
        <f>Data!C17</f>
        <v>C32</v>
      </c>
      <c r="D18" s="169">
        <f>Data!DA17</f>
        <v>0</v>
      </c>
      <c r="E18" s="169">
        <f>Data!DB17</f>
        <v>0</v>
      </c>
      <c r="F18" s="169">
        <f>Data!DC17</f>
        <v>0</v>
      </c>
      <c r="G18" s="169">
        <f>Data!DD17</f>
        <v>0</v>
      </c>
      <c r="H18" s="169">
        <f>Data!DE17</f>
        <v>0</v>
      </c>
      <c r="I18" s="169">
        <f>Data!DF17</f>
        <v>0</v>
      </c>
      <c r="J18" s="169">
        <f>Data!DG17</f>
        <v>0</v>
      </c>
      <c r="K18" s="169">
        <f>Data!DH17</f>
        <v>0</v>
      </c>
      <c r="L18" s="169">
        <f>Data!DI17</f>
        <v>0</v>
      </c>
      <c r="M18" s="169">
        <f>Data!DJ17</f>
        <v>0</v>
      </c>
      <c r="N18" s="169">
        <f>Data!DK17</f>
        <v>1</v>
      </c>
      <c r="O18" s="169">
        <f>Data!DL17</f>
        <v>3</v>
      </c>
      <c r="P18" s="169">
        <f>Data!DM17</f>
        <v>3</v>
      </c>
      <c r="Q18" s="169">
        <f>Data!DN17</f>
        <v>3</v>
      </c>
      <c r="R18" s="169">
        <f>Data!DO17</f>
        <v>0</v>
      </c>
      <c r="S18" s="169">
        <f>Data!DP17</f>
        <v>0</v>
      </c>
      <c r="T18" s="169">
        <f>Data!DQ17</f>
        <v>0</v>
      </c>
      <c r="U18" s="169">
        <f>Data!DR17</f>
        <v>0</v>
      </c>
      <c r="V18" s="169">
        <f t="shared" si="0"/>
        <v>10</v>
      </c>
      <c r="W18" s="65"/>
    </row>
    <row r="19" spans="1:23" s="27" customFormat="1" ht="12" customHeight="1">
      <c r="A19" s="65"/>
      <c r="B19" s="151" t="str">
        <f>UPPER(LEFT(TRIM(Data!B18),1)) &amp; MID(TRIM(Data!B18),2,50)</f>
        <v>Plaučių, trachėjos, bronchų</v>
      </c>
      <c r="C19" s="177" t="str">
        <f>Data!C18</f>
        <v>C33, C34</v>
      </c>
      <c r="D19" s="171">
        <f>Data!DA18</f>
        <v>0</v>
      </c>
      <c r="E19" s="171">
        <f>Data!DB18</f>
        <v>0</v>
      </c>
      <c r="F19" s="171">
        <f>Data!DC18</f>
        <v>0</v>
      </c>
      <c r="G19" s="171">
        <f>Data!DD18</f>
        <v>0</v>
      </c>
      <c r="H19" s="171">
        <f>Data!DE18</f>
        <v>0</v>
      </c>
      <c r="I19" s="171">
        <f>Data!DF18</f>
        <v>0</v>
      </c>
      <c r="J19" s="171">
        <f>Data!DG18</f>
        <v>0</v>
      </c>
      <c r="K19" s="171">
        <f>Data!DH18</f>
        <v>0</v>
      </c>
      <c r="L19" s="171">
        <f>Data!DI18</f>
        <v>4</v>
      </c>
      <c r="M19" s="171">
        <f>Data!DJ18</f>
        <v>4</v>
      </c>
      <c r="N19" s="171">
        <f>Data!DK18</f>
        <v>12</v>
      </c>
      <c r="O19" s="171">
        <f>Data!DL18</f>
        <v>21</v>
      </c>
      <c r="P19" s="171">
        <f>Data!DM18</f>
        <v>28</v>
      </c>
      <c r="Q19" s="171">
        <f>Data!DN18</f>
        <v>32</v>
      </c>
      <c r="R19" s="171">
        <f>Data!DO18</f>
        <v>30</v>
      </c>
      <c r="S19" s="171">
        <f>Data!DP18</f>
        <v>41</v>
      </c>
      <c r="T19" s="171">
        <f>Data!DQ18</f>
        <v>45</v>
      </c>
      <c r="U19" s="171">
        <f>Data!DR18</f>
        <v>29</v>
      </c>
      <c r="V19" s="171">
        <f t="shared" si="0"/>
        <v>246</v>
      </c>
      <c r="W19" s="65"/>
    </row>
    <row r="20" spans="1:23" s="27" customFormat="1" ht="12" customHeight="1">
      <c r="A20" s="65"/>
      <c r="B20" s="150" t="str">
        <f>UPPER(LEFT(TRIM(Data!B19),1)) &amp; MID(TRIM(Data!B19),2,50)</f>
        <v>Kitų kvėpavimo sistemos organų</v>
      </c>
      <c r="C20" s="150" t="str">
        <f>Data!C19</f>
        <v>C37-C39</v>
      </c>
      <c r="D20" s="169">
        <f>Data!DA19</f>
        <v>0</v>
      </c>
      <c r="E20" s="169">
        <f>Data!DB19</f>
        <v>0</v>
      </c>
      <c r="F20" s="169">
        <f>Data!DC19</f>
        <v>0</v>
      </c>
      <c r="G20" s="169">
        <f>Data!DD19</f>
        <v>0</v>
      </c>
      <c r="H20" s="169">
        <f>Data!DE19</f>
        <v>0</v>
      </c>
      <c r="I20" s="169">
        <f>Data!DF19</f>
        <v>0</v>
      </c>
      <c r="J20" s="169">
        <f>Data!DG19</f>
        <v>0</v>
      </c>
      <c r="K20" s="169">
        <f>Data!DH19</f>
        <v>0</v>
      </c>
      <c r="L20" s="169">
        <f>Data!DI19</f>
        <v>0</v>
      </c>
      <c r="M20" s="169">
        <f>Data!DJ19</f>
        <v>0</v>
      </c>
      <c r="N20" s="169">
        <f>Data!DK19</f>
        <v>1</v>
      </c>
      <c r="O20" s="169">
        <f>Data!DL19</f>
        <v>0</v>
      </c>
      <c r="P20" s="169">
        <f>Data!DM19</f>
        <v>0</v>
      </c>
      <c r="Q20" s="169">
        <f>Data!DN19</f>
        <v>0</v>
      </c>
      <c r="R20" s="169">
        <f>Data!DO19</f>
        <v>1</v>
      </c>
      <c r="S20" s="169">
        <f>Data!DP19</f>
        <v>0</v>
      </c>
      <c r="T20" s="169">
        <f>Data!DQ19</f>
        <v>1</v>
      </c>
      <c r="U20" s="169">
        <f>Data!DR19</f>
        <v>1</v>
      </c>
      <c r="V20" s="169">
        <f t="shared" si="0"/>
        <v>4</v>
      </c>
      <c r="W20" s="65"/>
    </row>
    <row r="21" spans="1:23" s="27" customFormat="1" ht="12" customHeight="1">
      <c r="A21" s="65"/>
      <c r="B21" s="151" t="str">
        <f>UPPER(LEFT(TRIM(Data!B20),1)) &amp; MID(TRIM(Data!B20),2,50)</f>
        <v>Kaulų ir jungiamojo audinio</v>
      </c>
      <c r="C21" s="177" t="str">
        <f>Data!C20</f>
        <v>C40-C41, C45-C47, C49</v>
      </c>
      <c r="D21" s="171">
        <f>Data!DA20</f>
        <v>0</v>
      </c>
      <c r="E21" s="171">
        <f>Data!DB20</f>
        <v>0</v>
      </c>
      <c r="F21" s="171">
        <f>Data!DC20</f>
        <v>0</v>
      </c>
      <c r="G21" s="171">
        <f>Data!DD20</f>
        <v>2</v>
      </c>
      <c r="H21" s="171">
        <f>Data!DE20</f>
        <v>0</v>
      </c>
      <c r="I21" s="171">
        <f>Data!DF20</f>
        <v>0</v>
      </c>
      <c r="J21" s="171">
        <f>Data!DG20</f>
        <v>0</v>
      </c>
      <c r="K21" s="171">
        <f>Data!DH20</f>
        <v>1</v>
      </c>
      <c r="L21" s="171">
        <f>Data!DI20</f>
        <v>1</v>
      </c>
      <c r="M21" s="171">
        <f>Data!DJ20</f>
        <v>3</v>
      </c>
      <c r="N21" s="171">
        <f>Data!DK20</f>
        <v>3</v>
      </c>
      <c r="O21" s="171">
        <f>Data!DL20</f>
        <v>2</v>
      </c>
      <c r="P21" s="171">
        <f>Data!DM20</f>
        <v>5</v>
      </c>
      <c r="Q21" s="171">
        <f>Data!DN20</f>
        <v>5</v>
      </c>
      <c r="R21" s="171">
        <f>Data!DO20</f>
        <v>5</v>
      </c>
      <c r="S21" s="171">
        <f>Data!DP20</f>
        <v>6</v>
      </c>
      <c r="T21" s="171">
        <f>Data!DQ20</f>
        <v>7</v>
      </c>
      <c r="U21" s="171">
        <f>Data!DR20</f>
        <v>2</v>
      </c>
      <c r="V21" s="171">
        <f t="shared" si="0"/>
        <v>42</v>
      </c>
      <c r="W21" s="65"/>
    </row>
    <row r="22" spans="1:23" s="27" customFormat="1" ht="12" customHeight="1">
      <c r="A22" s="65"/>
      <c r="B22" s="150" t="str">
        <f>UPPER(LEFT(TRIM(Data!B21),1)) &amp; MID(TRIM(Data!B21),2,50)</f>
        <v>Odos melanoma</v>
      </c>
      <c r="C22" s="150" t="str">
        <f>Data!C21</f>
        <v>C43</v>
      </c>
      <c r="D22" s="169">
        <f>Data!DA21</f>
        <v>0</v>
      </c>
      <c r="E22" s="169">
        <f>Data!DB21</f>
        <v>0</v>
      </c>
      <c r="F22" s="169">
        <f>Data!DC21</f>
        <v>0</v>
      </c>
      <c r="G22" s="169">
        <f>Data!DD21</f>
        <v>0</v>
      </c>
      <c r="H22" s="169">
        <f>Data!DE21</f>
        <v>0</v>
      </c>
      <c r="I22" s="169">
        <f>Data!DF21</f>
        <v>0</v>
      </c>
      <c r="J22" s="169">
        <f>Data!DG21</f>
        <v>0</v>
      </c>
      <c r="K22" s="169">
        <f>Data!DH21</f>
        <v>0</v>
      </c>
      <c r="L22" s="169">
        <f>Data!DI21</f>
        <v>0</v>
      </c>
      <c r="M22" s="169">
        <f>Data!DJ21</f>
        <v>2</v>
      </c>
      <c r="N22" s="169">
        <f>Data!DK21</f>
        <v>4</v>
      </c>
      <c r="O22" s="169">
        <f>Data!DL21</f>
        <v>8</v>
      </c>
      <c r="P22" s="169">
        <f>Data!DM21</f>
        <v>3</v>
      </c>
      <c r="Q22" s="169">
        <f>Data!DN21</f>
        <v>2</v>
      </c>
      <c r="R22" s="169">
        <f>Data!DO21</f>
        <v>9</v>
      </c>
      <c r="S22" s="169">
        <f>Data!DP21</f>
        <v>13</v>
      </c>
      <c r="T22" s="169">
        <f>Data!DQ21</f>
        <v>6</v>
      </c>
      <c r="U22" s="169">
        <f>Data!DR21</f>
        <v>7</v>
      </c>
      <c r="V22" s="169">
        <f t="shared" si="0"/>
        <v>54</v>
      </c>
      <c r="W22" s="65"/>
    </row>
    <row r="23" spans="1:23" s="27" customFormat="1" ht="12" customHeight="1">
      <c r="A23" s="65"/>
      <c r="B23" s="151" t="str">
        <f>UPPER(LEFT(TRIM(Data!B22),1)) &amp; MID(TRIM(Data!B22),2,50)</f>
        <v>Kiti odos piktybiniai navikai</v>
      </c>
      <c r="C23" s="177" t="str">
        <f>Data!C22</f>
        <v>C44</v>
      </c>
      <c r="D23" s="171">
        <f>Data!DA22</f>
        <v>0</v>
      </c>
      <c r="E23" s="171">
        <f>Data!DB22</f>
        <v>0</v>
      </c>
      <c r="F23" s="171">
        <f>Data!DC22</f>
        <v>0</v>
      </c>
      <c r="G23" s="171">
        <f>Data!DD22</f>
        <v>0</v>
      </c>
      <c r="H23" s="171">
        <f>Data!DE22</f>
        <v>0</v>
      </c>
      <c r="I23" s="171">
        <f>Data!DF22</f>
        <v>0</v>
      </c>
      <c r="J23" s="171">
        <f>Data!DG22</f>
        <v>0</v>
      </c>
      <c r="K23" s="171">
        <f>Data!DH22</f>
        <v>1</v>
      </c>
      <c r="L23" s="171">
        <f>Data!DI22</f>
        <v>0</v>
      </c>
      <c r="M23" s="171">
        <f>Data!DJ22</f>
        <v>1</v>
      </c>
      <c r="N23" s="171">
        <f>Data!DK22</f>
        <v>0</v>
      </c>
      <c r="O23" s="171">
        <f>Data!DL22</f>
        <v>0</v>
      </c>
      <c r="P23" s="171">
        <f>Data!DM22</f>
        <v>0</v>
      </c>
      <c r="Q23" s="171">
        <f>Data!DN22</f>
        <v>0</v>
      </c>
      <c r="R23" s="171">
        <f>Data!DO22</f>
        <v>1</v>
      </c>
      <c r="S23" s="171">
        <f>Data!DP22</f>
        <v>2</v>
      </c>
      <c r="T23" s="171">
        <f>Data!DQ22</f>
        <v>9</v>
      </c>
      <c r="U23" s="171">
        <f>Data!DR22</f>
        <v>9</v>
      </c>
      <c r="V23" s="171">
        <f t="shared" si="0"/>
        <v>23</v>
      </c>
      <c r="W23" s="65"/>
    </row>
    <row r="24" spans="1:23" s="27" customFormat="1" ht="12" customHeight="1">
      <c r="A24" s="65"/>
      <c r="B24" s="150" t="str">
        <f>UPPER(LEFT(TRIM(Data!B23),1)) &amp; MID(TRIM(Data!B23),2,50)</f>
        <v>Krūties</v>
      </c>
      <c r="C24" s="150" t="str">
        <f>Data!C23</f>
        <v>C50</v>
      </c>
      <c r="D24" s="169">
        <f>Data!DA23</f>
        <v>0</v>
      </c>
      <c r="E24" s="169">
        <f>Data!DB23</f>
        <v>0</v>
      </c>
      <c r="F24" s="169">
        <f>Data!DC23</f>
        <v>0</v>
      </c>
      <c r="G24" s="169">
        <f>Data!DD23</f>
        <v>0</v>
      </c>
      <c r="H24" s="169">
        <f>Data!DE23</f>
        <v>0</v>
      </c>
      <c r="I24" s="169">
        <f>Data!DF23</f>
        <v>1</v>
      </c>
      <c r="J24" s="169">
        <f>Data!DG23</f>
        <v>6</v>
      </c>
      <c r="K24" s="169">
        <f>Data!DH23</f>
        <v>9</v>
      </c>
      <c r="L24" s="169">
        <f>Data!DI23</f>
        <v>19</v>
      </c>
      <c r="M24" s="169">
        <f>Data!DJ23</f>
        <v>26</v>
      </c>
      <c r="N24" s="169">
        <f>Data!DK23</f>
        <v>40</v>
      </c>
      <c r="O24" s="169">
        <f>Data!DL23</f>
        <v>54</v>
      </c>
      <c r="P24" s="169">
        <f>Data!DM23</f>
        <v>61</v>
      </c>
      <c r="Q24" s="169">
        <f>Data!DN23</f>
        <v>67</v>
      </c>
      <c r="R24" s="169">
        <f>Data!DO23</f>
        <v>79</v>
      </c>
      <c r="S24" s="169">
        <f>Data!DP23</f>
        <v>63</v>
      </c>
      <c r="T24" s="169">
        <f>Data!DQ23</f>
        <v>74</v>
      </c>
      <c r="U24" s="169">
        <f>Data!DR23</f>
        <v>71</v>
      </c>
      <c r="V24" s="169">
        <f t="shared" si="0"/>
        <v>570</v>
      </c>
      <c r="W24" s="65"/>
    </row>
    <row r="25" spans="1:23" s="27" customFormat="1" ht="12" customHeight="1">
      <c r="A25" s="65"/>
      <c r="B25" s="151" t="str">
        <f>UPPER(LEFT(TRIM(Data!B24),1)) &amp; MID(TRIM(Data!B24),2,50)</f>
        <v>Vulvos</v>
      </c>
      <c r="C25" s="177" t="str">
        <f>Data!C24</f>
        <v>C51</v>
      </c>
      <c r="D25" s="171">
        <f>Data!DA24</f>
        <v>0</v>
      </c>
      <c r="E25" s="171">
        <f>Data!DB24</f>
        <v>0</v>
      </c>
      <c r="F25" s="171">
        <f>Data!DC24</f>
        <v>0</v>
      </c>
      <c r="G25" s="171">
        <f>Data!DD24</f>
        <v>0</v>
      </c>
      <c r="H25" s="171">
        <f>Data!DE24</f>
        <v>0</v>
      </c>
      <c r="I25" s="171">
        <f>Data!DF24</f>
        <v>0</v>
      </c>
      <c r="J25" s="171">
        <f>Data!DG24</f>
        <v>0</v>
      </c>
      <c r="K25" s="171">
        <f>Data!DH24</f>
        <v>0</v>
      </c>
      <c r="L25" s="171">
        <f>Data!DI24</f>
        <v>0</v>
      </c>
      <c r="M25" s="171">
        <f>Data!DJ24</f>
        <v>2</v>
      </c>
      <c r="N25" s="171">
        <f>Data!DK24</f>
        <v>0</v>
      </c>
      <c r="O25" s="171">
        <f>Data!DL24</f>
        <v>0</v>
      </c>
      <c r="P25" s="171">
        <f>Data!DM24</f>
        <v>2</v>
      </c>
      <c r="Q25" s="171">
        <f>Data!DN24</f>
        <v>0</v>
      </c>
      <c r="R25" s="171">
        <f>Data!DO24</f>
        <v>4</v>
      </c>
      <c r="S25" s="171">
        <f>Data!DP24</f>
        <v>2</v>
      </c>
      <c r="T25" s="171">
        <f>Data!DQ24</f>
        <v>5</v>
      </c>
      <c r="U25" s="171">
        <f>Data!DR24</f>
        <v>4</v>
      </c>
      <c r="V25" s="171">
        <f t="shared" si="0"/>
        <v>19</v>
      </c>
      <c r="W25" s="65"/>
    </row>
    <row r="26" spans="1:23" s="27" customFormat="1" ht="12" customHeight="1">
      <c r="A26" s="65"/>
      <c r="B26" s="150" t="str">
        <f>UPPER(LEFT(TRIM(Data!B25),1)) &amp; MID(TRIM(Data!B25),2,50)</f>
        <v>Gimdos kaklelio</v>
      </c>
      <c r="C26" s="150" t="str">
        <f>Data!C25</f>
        <v>C53</v>
      </c>
      <c r="D26" s="169">
        <f>Data!DA25</f>
        <v>0</v>
      </c>
      <c r="E26" s="169">
        <f>Data!DB25</f>
        <v>0</v>
      </c>
      <c r="F26" s="169">
        <f>Data!DC25</f>
        <v>0</v>
      </c>
      <c r="G26" s="169">
        <f>Data!DD25</f>
        <v>0</v>
      </c>
      <c r="H26" s="169">
        <f>Data!DE25</f>
        <v>0</v>
      </c>
      <c r="I26" s="169">
        <f>Data!DF25</f>
        <v>0</v>
      </c>
      <c r="J26" s="169">
        <f>Data!DG25</f>
        <v>1</v>
      </c>
      <c r="K26" s="169">
        <f>Data!DH25</f>
        <v>6</v>
      </c>
      <c r="L26" s="169">
        <f>Data!DI25</f>
        <v>18</v>
      </c>
      <c r="M26" s="169">
        <f>Data!DJ25</f>
        <v>16</v>
      </c>
      <c r="N26" s="169">
        <f>Data!DK25</f>
        <v>25</v>
      </c>
      <c r="O26" s="169">
        <f>Data!DL25</f>
        <v>23</v>
      </c>
      <c r="P26" s="169">
        <f>Data!DM25</f>
        <v>28</v>
      </c>
      <c r="Q26" s="169">
        <f>Data!DN25</f>
        <v>21</v>
      </c>
      <c r="R26" s="169">
        <f>Data!DO25</f>
        <v>14</v>
      </c>
      <c r="S26" s="169">
        <f>Data!DP25</f>
        <v>19</v>
      </c>
      <c r="T26" s="169">
        <f>Data!DQ25</f>
        <v>18</v>
      </c>
      <c r="U26" s="169">
        <f>Data!DR25</f>
        <v>18</v>
      </c>
      <c r="V26" s="169">
        <f t="shared" si="0"/>
        <v>207</v>
      </c>
      <c r="W26" s="65"/>
    </row>
    <row r="27" spans="1:23" s="27" customFormat="1" ht="12" customHeight="1">
      <c r="A27" s="65"/>
      <c r="B27" s="151" t="str">
        <f>UPPER(LEFT(TRIM(Data!B26),1)) &amp; MID(TRIM(Data!B26),2,50)</f>
        <v>Gimdos kūno</v>
      </c>
      <c r="C27" s="177" t="str">
        <f>Data!C26</f>
        <v>C54, C55</v>
      </c>
      <c r="D27" s="171">
        <f>Data!DA26</f>
        <v>0</v>
      </c>
      <c r="E27" s="171">
        <f>Data!DB26</f>
        <v>0</v>
      </c>
      <c r="F27" s="171">
        <f>Data!DC26</f>
        <v>0</v>
      </c>
      <c r="G27" s="171">
        <f>Data!DD26</f>
        <v>0</v>
      </c>
      <c r="H27" s="171">
        <f>Data!DE26</f>
        <v>0</v>
      </c>
      <c r="I27" s="171">
        <f>Data!DF26</f>
        <v>1</v>
      </c>
      <c r="J27" s="171">
        <f>Data!DG26</f>
        <v>0</v>
      </c>
      <c r="K27" s="171">
        <f>Data!DH26</f>
        <v>0</v>
      </c>
      <c r="L27" s="171">
        <f>Data!DI26</f>
        <v>1</v>
      </c>
      <c r="M27" s="171">
        <f>Data!DJ26</f>
        <v>1</v>
      </c>
      <c r="N27" s="171">
        <f>Data!DK26</f>
        <v>4</v>
      </c>
      <c r="O27" s="171">
        <f>Data!DL26</f>
        <v>10</v>
      </c>
      <c r="P27" s="171">
        <f>Data!DM26</f>
        <v>17</v>
      </c>
      <c r="Q27" s="171">
        <f>Data!DN26</f>
        <v>24</v>
      </c>
      <c r="R27" s="171">
        <f>Data!DO26</f>
        <v>24</v>
      </c>
      <c r="S27" s="171">
        <f>Data!DP26</f>
        <v>22</v>
      </c>
      <c r="T27" s="171">
        <f>Data!DQ26</f>
        <v>32</v>
      </c>
      <c r="U27" s="171">
        <f>Data!DR26</f>
        <v>17</v>
      </c>
      <c r="V27" s="171">
        <f t="shared" si="0"/>
        <v>153</v>
      </c>
      <c r="W27" s="65"/>
    </row>
    <row r="28" spans="1:23" s="27" customFormat="1" ht="12" customHeight="1">
      <c r="A28" s="65"/>
      <c r="B28" s="150" t="str">
        <f>UPPER(LEFT(TRIM(Data!B27),1)) &amp; MID(TRIM(Data!B27),2,50)</f>
        <v>Kiaušidžių</v>
      </c>
      <c r="C28" s="150" t="str">
        <f>Data!C27</f>
        <v>C56</v>
      </c>
      <c r="D28" s="169">
        <f>Data!DA27</f>
        <v>0</v>
      </c>
      <c r="E28" s="169">
        <f>Data!DB27</f>
        <v>0</v>
      </c>
      <c r="F28" s="169">
        <f>Data!DC27</f>
        <v>0</v>
      </c>
      <c r="G28" s="169">
        <f>Data!DD27</f>
        <v>0</v>
      </c>
      <c r="H28" s="169">
        <f>Data!DE27</f>
        <v>1</v>
      </c>
      <c r="I28" s="169">
        <f>Data!DF27</f>
        <v>0</v>
      </c>
      <c r="J28" s="169">
        <f>Data!DG27</f>
        <v>1</v>
      </c>
      <c r="K28" s="169">
        <f>Data!DH27</f>
        <v>3</v>
      </c>
      <c r="L28" s="169">
        <f>Data!DI27</f>
        <v>7</v>
      </c>
      <c r="M28" s="169">
        <f>Data!DJ27</f>
        <v>13</v>
      </c>
      <c r="N28" s="169">
        <f>Data!DK27</f>
        <v>25</v>
      </c>
      <c r="O28" s="169">
        <f>Data!DL27</f>
        <v>26</v>
      </c>
      <c r="P28" s="169">
        <f>Data!DM27</f>
        <v>27</v>
      </c>
      <c r="Q28" s="169">
        <f>Data!DN27</f>
        <v>29</v>
      </c>
      <c r="R28" s="169">
        <f>Data!DO27</f>
        <v>38</v>
      </c>
      <c r="S28" s="169">
        <f>Data!DP27</f>
        <v>43</v>
      </c>
      <c r="T28" s="169">
        <f>Data!DQ27</f>
        <v>38</v>
      </c>
      <c r="U28" s="169">
        <f>Data!DR27</f>
        <v>27</v>
      </c>
      <c r="V28" s="169">
        <f t="shared" si="0"/>
        <v>278</v>
      </c>
      <c r="W28" s="65"/>
    </row>
    <row r="29" spans="1:23" s="27" customFormat="1" ht="12" customHeight="1">
      <c r="A29" s="65"/>
      <c r="B29" s="151" t="str">
        <f>UPPER(LEFT(TRIM(Data!B30),1)) &amp; MID(TRIM(Data!B30),2,50)</f>
        <v>Kitų lyties organų</v>
      </c>
      <c r="C29" s="177" t="s">
        <v>418</v>
      </c>
      <c r="D29" s="171">
        <f>Data!DA30</f>
        <v>0</v>
      </c>
      <c r="E29" s="171">
        <f>Data!DB30</f>
        <v>0</v>
      </c>
      <c r="F29" s="171">
        <f>Data!DC30</f>
        <v>0</v>
      </c>
      <c r="G29" s="171">
        <f>Data!DD30</f>
        <v>0</v>
      </c>
      <c r="H29" s="171">
        <f>Data!DE30</f>
        <v>0</v>
      </c>
      <c r="I29" s="171">
        <f>Data!DF30</f>
        <v>0</v>
      </c>
      <c r="J29" s="171">
        <f>Data!DG30</f>
        <v>0</v>
      </c>
      <c r="K29" s="171">
        <f>Data!DH30</f>
        <v>0</v>
      </c>
      <c r="L29" s="171">
        <f>Data!DI30</f>
        <v>0</v>
      </c>
      <c r="M29" s="171">
        <f>Data!DJ30</f>
        <v>1</v>
      </c>
      <c r="N29" s="171">
        <f>Data!DK30</f>
        <v>0</v>
      </c>
      <c r="O29" s="171">
        <f>Data!DL30</f>
        <v>0</v>
      </c>
      <c r="P29" s="171">
        <f>Data!DM30</f>
        <v>2</v>
      </c>
      <c r="Q29" s="171">
        <f>Data!DN30</f>
        <v>2</v>
      </c>
      <c r="R29" s="171">
        <f>Data!DO30</f>
        <v>3</v>
      </c>
      <c r="S29" s="171">
        <f>Data!DP30</f>
        <v>3</v>
      </c>
      <c r="T29" s="171">
        <f>Data!DQ30</f>
        <v>6</v>
      </c>
      <c r="U29" s="171">
        <f>Data!DR30</f>
        <v>6</v>
      </c>
      <c r="V29" s="171">
        <f t="shared" si="0"/>
        <v>23</v>
      </c>
      <c r="W29" s="65"/>
    </row>
    <row r="30" spans="1:23" s="27" customFormat="1" ht="12" customHeight="1">
      <c r="A30" s="65"/>
      <c r="B30" s="150" t="str">
        <f>UPPER(LEFT(TRIM(Data!B31),1)) &amp; MID(TRIM(Data!B31),2,50)</f>
        <v>Inkstų</v>
      </c>
      <c r="C30" s="150" t="str">
        <f>Data!C31</f>
        <v>C64</v>
      </c>
      <c r="D30" s="169">
        <f>Data!DA31</f>
        <v>0</v>
      </c>
      <c r="E30" s="169">
        <f>Data!DB31</f>
        <v>0</v>
      </c>
      <c r="F30" s="169">
        <f>Data!DC31</f>
        <v>0</v>
      </c>
      <c r="G30" s="169">
        <f>Data!DD31</f>
        <v>0</v>
      </c>
      <c r="H30" s="169">
        <f>Data!DE31</f>
        <v>0</v>
      </c>
      <c r="I30" s="169">
        <f>Data!DF31</f>
        <v>0</v>
      </c>
      <c r="J30" s="169">
        <f>Data!DG31</f>
        <v>0</v>
      </c>
      <c r="K30" s="169">
        <f>Data!DH31</f>
        <v>1</v>
      </c>
      <c r="L30" s="169">
        <f>Data!DI31</f>
        <v>0</v>
      </c>
      <c r="M30" s="169">
        <f>Data!DJ31</f>
        <v>3</v>
      </c>
      <c r="N30" s="169">
        <f>Data!DK31</f>
        <v>1</v>
      </c>
      <c r="O30" s="169">
        <f>Data!DL31</f>
        <v>3</v>
      </c>
      <c r="P30" s="169">
        <f>Data!DM31</f>
        <v>9</v>
      </c>
      <c r="Q30" s="169">
        <f>Data!DN31</f>
        <v>19</v>
      </c>
      <c r="R30" s="169">
        <f>Data!DO31</f>
        <v>10</v>
      </c>
      <c r="S30" s="169">
        <f>Data!DP31</f>
        <v>27</v>
      </c>
      <c r="T30" s="169">
        <f>Data!DQ31</f>
        <v>22</v>
      </c>
      <c r="U30" s="169">
        <f>Data!DR31</f>
        <v>12</v>
      </c>
      <c r="V30" s="169">
        <f t="shared" si="0"/>
        <v>107</v>
      </c>
      <c r="W30" s="65"/>
    </row>
    <row r="31" spans="1:23" s="27" customFormat="1" ht="12" customHeight="1">
      <c r="A31" s="65"/>
      <c r="B31" s="151" t="str">
        <f>UPPER(LEFT(TRIM(Data!B32),1)) &amp; MID(TRIM(Data!B32),2,50)</f>
        <v>Šlapimo pūslės</v>
      </c>
      <c r="C31" s="177" t="str">
        <f>Data!C32</f>
        <v>C67</v>
      </c>
      <c r="D31" s="171">
        <f>Data!DA32</f>
        <v>0</v>
      </c>
      <c r="E31" s="171">
        <f>Data!DB32</f>
        <v>0</v>
      </c>
      <c r="F31" s="171">
        <f>Data!DC32</f>
        <v>0</v>
      </c>
      <c r="G31" s="171">
        <f>Data!DD32</f>
        <v>0</v>
      </c>
      <c r="H31" s="171">
        <f>Data!DE32</f>
        <v>0</v>
      </c>
      <c r="I31" s="171">
        <f>Data!DF32</f>
        <v>0</v>
      </c>
      <c r="J31" s="171">
        <f>Data!DG32</f>
        <v>0</v>
      </c>
      <c r="K31" s="171">
        <f>Data!DH32</f>
        <v>0</v>
      </c>
      <c r="L31" s="171">
        <f>Data!DI32</f>
        <v>0</v>
      </c>
      <c r="M31" s="171">
        <f>Data!DJ32</f>
        <v>1</v>
      </c>
      <c r="N31" s="171">
        <f>Data!DK32</f>
        <v>1</v>
      </c>
      <c r="O31" s="171">
        <f>Data!DL32</f>
        <v>0</v>
      </c>
      <c r="P31" s="171">
        <f>Data!DM32</f>
        <v>3</v>
      </c>
      <c r="Q31" s="171">
        <f>Data!DN32</f>
        <v>2</v>
      </c>
      <c r="R31" s="171">
        <f>Data!DO32</f>
        <v>4</v>
      </c>
      <c r="S31" s="171">
        <f>Data!DP32</f>
        <v>7</v>
      </c>
      <c r="T31" s="171">
        <f>Data!DQ32</f>
        <v>15</v>
      </c>
      <c r="U31" s="171">
        <f>Data!DR32</f>
        <v>20</v>
      </c>
      <c r="V31" s="171">
        <f t="shared" si="0"/>
        <v>53</v>
      </c>
      <c r="W31" s="65"/>
    </row>
    <row r="32" spans="1:23" s="27" customFormat="1" ht="12" customHeight="1">
      <c r="A32" s="65"/>
      <c r="B32" s="150" t="str">
        <f>UPPER(LEFT(TRIM(Data!B33),1)) &amp; MID(TRIM(Data!B33),2,50)</f>
        <v>Kitų šlapimą išskiriančių organų</v>
      </c>
      <c r="C32" s="150" t="str">
        <f>Data!C33</f>
        <v>C65, C66, C68</v>
      </c>
      <c r="D32" s="169">
        <f>Data!DA33</f>
        <v>0</v>
      </c>
      <c r="E32" s="169">
        <f>Data!DB33</f>
        <v>0</v>
      </c>
      <c r="F32" s="169">
        <f>Data!DC33</f>
        <v>0</v>
      </c>
      <c r="G32" s="169">
        <f>Data!DD33</f>
        <v>0</v>
      </c>
      <c r="H32" s="169">
        <f>Data!DE33</f>
        <v>0</v>
      </c>
      <c r="I32" s="169">
        <f>Data!DF33</f>
        <v>0</v>
      </c>
      <c r="J32" s="169">
        <f>Data!DG33</f>
        <v>0</v>
      </c>
      <c r="K32" s="169">
        <f>Data!DH33</f>
        <v>0</v>
      </c>
      <c r="L32" s="169">
        <f>Data!DI33</f>
        <v>1</v>
      </c>
      <c r="M32" s="169">
        <f>Data!DJ33</f>
        <v>0</v>
      </c>
      <c r="N32" s="169">
        <f>Data!DK33</f>
        <v>0</v>
      </c>
      <c r="O32" s="169">
        <f>Data!DL33</f>
        <v>1</v>
      </c>
      <c r="P32" s="169">
        <f>Data!DM33</f>
        <v>1</v>
      </c>
      <c r="Q32" s="169">
        <f>Data!DN33</f>
        <v>1</v>
      </c>
      <c r="R32" s="169">
        <f>Data!DO33</f>
        <v>1</v>
      </c>
      <c r="S32" s="169">
        <f>Data!DP33</f>
        <v>6</v>
      </c>
      <c r="T32" s="169">
        <f>Data!DQ33</f>
        <v>4</v>
      </c>
      <c r="U32" s="169">
        <f>Data!DR33</f>
        <v>1</v>
      </c>
      <c r="V32" s="169">
        <f t="shared" si="0"/>
        <v>16</v>
      </c>
      <c r="W32" s="65"/>
    </row>
    <row r="33" spans="1:23" s="27" customFormat="1" ht="12" customHeight="1">
      <c r="A33" s="65"/>
      <c r="B33" s="151" t="str">
        <f>UPPER(LEFT(TRIM(Data!B34),1)) &amp; MID(TRIM(Data!B34),2,50)</f>
        <v>Akių</v>
      </c>
      <c r="C33" s="177" t="str">
        <f>Data!C34</f>
        <v>C69</v>
      </c>
      <c r="D33" s="171">
        <f>Data!DA34</f>
        <v>0</v>
      </c>
      <c r="E33" s="171">
        <f>Data!DB34</f>
        <v>0</v>
      </c>
      <c r="F33" s="171">
        <f>Data!DC34</f>
        <v>0</v>
      </c>
      <c r="G33" s="171">
        <f>Data!DD34</f>
        <v>0</v>
      </c>
      <c r="H33" s="171">
        <f>Data!DE34</f>
        <v>0</v>
      </c>
      <c r="I33" s="171">
        <f>Data!DF34</f>
        <v>0</v>
      </c>
      <c r="J33" s="171">
        <f>Data!DG34</f>
        <v>0</v>
      </c>
      <c r="K33" s="171">
        <f>Data!DH34</f>
        <v>0</v>
      </c>
      <c r="L33" s="171">
        <f>Data!DI34</f>
        <v>1</v>
      </c>
      <c r="M33" s="171">
        <f>Data!DJ34</f>
        <v>0</v>
      </c>
      <c r="N33" s="171">
        <f>Data!DK34</f>
        <v>2</v>
      </c>
      <c r="O33" s="171">
        <f>Data!DL34</f>
        <v>0</v>
      </c>
      <c r="P33" s="171">
        <f>Data!DM34</f>
        <v>0</v>
      </c>
      <c r="Q33" s="171">
        <f>Data!DN34</f>
        <v>0</v>
      </c>
      <c r="R33" s="171">
        <f>Data!DO34</f>
        <v>1</v>
      </c>
      <c r="S33" s="171">
        <f>Data!DP34</f>
        <v>0</v>
      </c>
      <c r="T33" s="171">
        <f>Data!DQ34</f>
        <v>2</v>
      </c>
      <c r="U33" s="171">
        <f>Data!DR34</f>
        <v>1</v>
      </c>
      <c r="V33" s="171">
        <f t="shared" si="0"/>
        <v>7</v>
      </c>
      <c r="W33" s="65"/>
    </row>
    <row r="34" spans="1:23" s="27" customFormat="1" ht="12" customHeight="1">
      <c r="A34" s="65"/>
      <c r="B34" s="150" t="str">
        <f>UPPER(LEFT(TRIM(Data!B35),1)) &amp; MID(TRIM(Data!B35),2,50)</f>
        <v>Smegenų</v>
      </c>
      <c r="C34" s="150" t="str">
        <f>Data!C35</f>
        <v>C70-C72</v>
      </c>
      <c r="D34" s="169">
        <f>Data!DA35</f>
        <v>1</v>
      </c>
      <c r="E34" s="169">
        <f>Data!DB35</f>
        <v>2</v>
      </c>
      <c r="F34" s="169">
        <f>Data!DC35</f>
        <v>1</v>
      </c>
      <c r="G34" s="169">
        <f>Data!DD35</f>
        <v>0</v>
      </c>
      <c r="H34" s="169">
        <f>Data!DE35</f>
        <v>0</v>
      </c>
      <c r="I34" s="169">
        <f>Data!DF35</f>
        <v>1</v>
      </c>
      <c r="J34" s="169">
        <f>Data!DG35</f>
        <v>3</v>
      </c>
      <c r="K34" s="169">
        <f>Data!DH35</f>
        <v>1</v>
      </c>
      <c r="L34" s="169">
        <f>Data!DI35</f>
        <v>4</v>
      </c>
      <c r="M34" s="169">
        <f>Data!DJ35</f>
        <v>5</v>
      </c>
      <c r="N34" s="169">
        <f>Data!DK35</f>
        <v>5</v>
      </c>
      <c r="O34" s="169">
        <f>Data!DL35</f>
        <v>14</v>
      </c>
      <c r="P34" s="169">
        <f>Data!DM35</f>
        <v>8</v>
      </c>
      <c r="Q34" s="169">
        <f>Data!DN35</f>
        <v>27</v>
      </c>
      <c r="R34" s="169">
        <f>Data!DO35</f>
        <v>15</v>
      </c>
      <c r="S34" s="169">
        <f>Data!DP35</f>
        <v>15</v>
      </c>
      <c r="T34" s="169">
        <f>Data!DQ35</f>
        <v>13</v>
      </c>
      <c r="U34" s="169">
        <f>Data!DR35</f>
        <v>12</v>
      </c>
      <c r="V34" s="169">
        <f t="shared" si="0"/>
        <v>127</v>
      </c>
      <c r="W34" s="65"/>
    </row>
    <row r="35" spans="1:23" s="27" customFormat="1" ht="12" customHeight="1">
      <c r="A35" s="65"/>
      <c r="B35" s="151" t="str">
        <f>UPPER(LEFT(TRIM(Data!B36),1)) &amp; MID(TRIM(Data!B36),2,50)</f>
        <v>Skydliaukės</v>
      </c>
      <c r="C35" s="177" t="str">
        <f>Data!C36</f>
        <v>C73</v>
      </c>
      <c r="D35" s="171">
        <f>Data!DA36</f>
        <v>0</v>
      </c>
      <c r="E35" s="171">
        <f>Data!DB36</f>
        <v>0</v>
      </c>
      <c r="F35" s="171">
        <f>Data!DC36</f>
        <v>0</v>
      </c>
      <c r="G35" s="171">
        <f>Data!DD36</f>
        <v>0</v>
      </c>
      <c r="H35" s="171">
        <f>Data!DE36</f>
        <v>0</v>
      </c>
      <c r="I35" s="171">
        <f>Data!DF36</f>
        <v>0</v>
      </c>
      <c r="J35" s="171">
        <f>Data!DG36</f>
        <v>0</v>
      </c>
      <c r="K35" s="171">
        <f>Data!DH36</f>
        <v>0</v>
      </c>
      <c r="L35" s="171">
        <f>Data!DI36</f>
        <v>0</v>
      </c>
      <c r="M35" s="171">
        <f>Data!DJ36</f>
        <v>0</v>
      </c>
      <c r="N35" s="171">
        <f>Data!DK36</f>
        <v>0</v>
      </c>
      <c r="O35" s="171">
        <f>Data!DL36</f>
        <v>0</v>
      </c>
      <c r="P35" s="171">
        <f>Data!DM36</f>
        <v>2</v>
      </c>
      <c r="Q35" s="171">
        <f>Data!DN36</f>
        <v>2</v>
      </c>
      <c r="R35" s="171">
        <f>Data!DO36</f>
        <v>2</v>
      </c>
      <c r="S35" s="171">
        <f>Data!DP36</f>
        <v>5</v>
      </c>
      <c r="T35" s="171">
        <f>Data!DQ36</f>
        <v>9</v>
      </c>
      <c r="U35" s="171">
        <f>Data!DR36</f>
        <v>2</v>
      </c>
      <c r="V35" s="171">
        <f t="shared" si="0"/>
        <v>22</v>
      </c>
      <c r="W35" s="65"/>
    </row>
    <row r="36" spans="1:23" s="27" customFormat="1" ht="12" customHeight="1">
      <c r="A36" s="65"/>
      <c r="B36" s="150" t="str">
        <f>UPPER(LEFT(TRIM(Data!B37),1)) &amp; MID(TRIM(Data!B37),2,50)</f>
        <v>Kitų endokrininių liaukų</v>
      </c>
      <c r="C36" s="150" t="str">
        <f>Data!C37</f>
        <v>C74-C75</v>
      </c>
      <c r="D36" s="169">
        <f>Data!DA37</f>
        <v>0</v>
      </c>
      <c r="E36" s="169">
        <f>Data!DB37</f>
        <v>0</v>
      </c>
      <c r="F36" s="169">
        <f>Data!DC37</f>
        <v>0</v>
      </c>
      <c r="G36" s="169">
        <f>Data!DD37</f>
        <v>0</v>
      </c>
      <c r="H36" s="169">
        <f>Data!DE37</f>
        <v>0</v>
      </c>
      <c r="I36" s="169">
        <f>Data!DF37</f>
        <v>0</v>
      </c>
      <c r="J36" s="169">
        <f>Data!DG37</f>
        <v>0</v>
      </c>
      <c r="K36" s="169">
        <f>Data!DH37</f>
        <v>0</v>
      </c>
      <c r="L36" s="169">
        <f>Data!DI37</f>
        <v>1</v>
      </c>
      <c r="M36" s="169">
        <f>Data!DJ37</f>
        <v>0</v>
      </c>
      <c r="N36" s="169">
        <f>Data!DK37</f>
        <v>0</v>
      </c>
      <c r="O36" s="169">
        <f>Data!DL37</f>
        <v>1</v>
      </c>
      <c r="P36" s="169">
        <f>Data!DM37</f>
        <v>0</v>
      </c>
      <c r="Q36" s="169">
        <f>Data!DN37</f>
        <v>0</v>
      </c>
      <c r="R36" s="169">
        <f>Data!DO37</f>
        <v>0</v>
      </c>
      <c r="S36" s="169">
        <f>Data!DP37</f>
        <v>0</v>
      </c>
      <c r="T36" s="169">
        <f>Data!DQ37</f>
        <v>1</v>
      </c>
      <c r="U36" s="169">
        <f>Data!DR37</f>
        <v>0</v>
      </c>
      <c r="V36" s="169">
        <f t="shared" si="0"/>
        <v>3</v>
      </c>
      <c r="W36" s="65"/>
    </row>
    <row r="37" spans="1:23" s="27" customFormat="1" ht="12" customHeight="1">
      <c r="A37" s="65"/>
      <c r="B37" s="151" t="str">
        <f>UPPER(LEFT(TRIM(Data!B38),1)) &amp; MID(TRIM(Data!B38),2,50)</f>
        <v>Nepatikslintos lokalizacijos</v>
      </c>
      <c r="C37" s="177" t="str">
        <f>Data!C38</f>
        <v>C76-C80</v>
      </c>
      <c r="D37" s="171">
        <f>Data!DA38</f>
        <v>0</v>
      </c>
      <c r="E37" s="171">
        <f>Data!DB38</f>
        <v>0</v>
      </c>
      <c r="F37" s="171">
        <f>Data!DC38</f>
        <v>0</v>
      </c>
      <c r="G37" s="171">
        <f>Data!DD38</f>
        <v>0</v>
      </c>
      <c r="H37" s="171">
        <f>Data!DE38</f>
        <v>0</v>
      </c>
      <c r="I37" s="171">
        <f>Data!DF38</f>
        <v>0</v>
      </c>
      <c r="J37" s="171">
        <f>Data!DG38</f>
        <v>1</v>
      </c>
      <c r="K37" s="171">
        <f>Data!DH38</f>
        <v>0</v>
      </c>
      <c r="L37" s="171">
        <f>Data!DI38</f>
        <v>3</v>
      </c>
      <c r="M37" s="171">
        <f>Data!DJ38</f>
        <v>3</v>
      </c>
      <c r="N37" s="171">
        <f>Data!DK38</f>
        <v>4</v>
      </c>
      <c r="O37" s="171">
        <f>Data!DL38</f>
        <v>7</v>
      </c>
      <c r="P37" s="171">
        <f>Data!DM38</f>
        <v>14</v>
      </c>
      <c r="Q37" s="171">
        <f>Data!DN38</f>
        <v>12</v>
      </c>
      <c r="R37" s="171">
        <f>Data!DO38</f>
        <v>26</v>
      </c>
      <c r="S37" s="171">
        <f>Data!DP38</f>
        <v>37</v>
      </c>
      <c r="T37" s="171">
        <f>Data!DQ38</f>
        <v>45</v>
      </c>
      <c r="U37" s="171">
        <f>Data!DR38</f>
        <v>42</v>
      </c>
      <c r="V37" s="171">
        <f t="shared" si="0"/>
        <v>194</v>
      </c>
      <c r="W37" s="65"/>
    </row>
    <row r="38" spans="1:23" s="27" customFormat="1" ht="12" customHeight="1">
      <c r="A38" s="65"/>
      <c r="B38" s="150" t="str">
        <f>UPPER(LEFT(TRIM(Data!B39),1)) &amp; MID(TRIM(Data!B39),2,50)</f>
        <v>Hodžkino limfomos</v>
      </c>
      <c r="C38" s="150" t="str">
        <f>Data!C39</f>
        <v>C81</v>
      </c>
      <c r="D38" s="169">
        <f>Data!DA39</f>
        <v>0</v>
      </c>
      <c r="E38" s="169">
        <f>Data!DB39</f>
        <v>0</v>
      </c>
      <c r="F38" s="169">
        <f>Data!DC39</f>
        <v>0</v>
      </c>
      <c r="G38" s="169">
        <f>Data!DD39</f>
        <v>0</v>
      </c>
      <c r="H38" s="169">
        <f>Data!DE39</f>
        <v>0</v>
      </c>
      <c r="I38" s="169">
        <f>Data!DF39</f>
        <v>0</v>
      </c>
      <c r="J38" s="169">
        <f>Data!DG39</f>
        <v>1</v>
      </c>
      <c r="K38" s="169">
        <f>Data!DH39</f>
        <v>0</v>
      </c>
      <c r="L38" s="169">
        <f>Data!DI39</f>
        <v>2</v>
      </c>
      <c r="M38" s="169">
        <f>Data!DJ39</f>
        <v>1</v>
      </c>
      <c r="N38" s="169">
        <f>Data!DK39</f>
        <v>0</v>
      </c>
      <c r="O38" s="169">
        <f>Data!DL39</f>
        <v>0</v>
      </c>
      <c r="P38" s="169">
        <f>Data!DM39</f>
        <v>1</v>
      </c>
      <c r="Q38" s="169">
        <f>Data!DN39</f>
        <v>0</v>
      </c>
      <c r="R38" s="169">
        <f>Data!DO39</f>
        <v>1</v>
      </c>
      <c r="S38" s="169">
        <f>Data!DP39</f>
        <v>0</v>
      </c>
      <c r="T38" s="169">
        <f>Data!DQ39</f>
        <v>0</v>
      </c>
      <c r="U38" s="169">
        <f>Data!DR39</f>
        <v>2</v>
      </c>
      <c r="V38" s="169">
        <f t="shared" si="0"/>
        <v>8</v>
      </c>
      <c r="W38" s="65"/>
    </row>
    <row r="39" spans="1:23" s="27" customFormat="1" ht="12" customHeight="1">
      <c r="A39" s="65"/>
      <c r="B39" s="151" t="str">
        <f>UPPER(LEFT(TRIM(Data!B40),1)) &amp; MID(TRIM(Data!B40),2,50)</f>
        <v>Ne Hodžkino limfomos</v>
      </c>
      <c r="C39" s="177" t="str">
        <f>Data!C40</f>
        <v>C82-C85</v>
      </c>
      <c r="D39" s="171">
        <f>Data!DA40</f>
        <v>0</v>
      </c>
      <c r="E39" s="171">
        <f>Data!DB40</f>
        <v>0</v>
      </c>
      <c r="F39" s="171">
        <f>Data!DC40</f>
        <v>0</v>
      </c>
      <c r="G39" s="171">
        <f>Data!DD40</f>
        <v>0</v>
      </c>
      <c r="H39" s="171">
        <f>Data!DE40</f>
        <v>0</v>
      </c>
      <c r="I39" s="171">
        <f>Data!DF40</f>
        <v>0</v>
      </c>
      <c r="J39" s="171">
        <f>Data!DG40</f>
        <v>0</v>
      </c>
      <c r="K39" s="171">
        <f>Data!DH40</f>
        <v>2</v>
      </c>
      <c r="L39" s="171">
        <f>Data!DI40</f>
        <v>0</v>
      </c>
      <c r="M39" s="171">
        <f>Data!DJ40</f>
        <v>0</v>
      </c>
      <c r="N39" s="171">
        <f>Data!DK40</f>
        <v>2</v>
      </c>
      <c r="O39" s="171">
        <f>Data!DL40</f>
        <v>3</v>
      </c>
      <c r="P39" s="171">
        <f>Data!DM40</f>
        <v>7</v>
      </c>
      <c r="Q39" s="171">
        <f>Data!DN40</f>
        <v>5</v>
      </c>
      <c r="R39" s="171">
        <f>Data!DO40</f>
        <v>13</v>
      </c>
      <c r="S39" s="171">
        <f>Data!DP40</f>
        <v>18</v>
      </c>
      <c r="T39" s="171">
        <f>Data!DQ40</f>
        <v>27</v>
      </c>
      <c r="U39" s="171">
        <f>Data!DR40</f>
        <v>17</v>
      </c>
      <c r="V39" s="171">
        <f t="shared" si="0"/>
        <v>94</v>
      </c>
      <c r="W39" s="65"/>
    </row>
    <row r="40" spans="1:23" s="27" customFormat="1" ht="12" customHeight="1">
      <c r="A40" s="65"/>
      <c r="B40" s="150" t="str">
        <f>UPPER(LEFT(TRIM(Data!B41),1)) &amp; MID(TRIM(Data!B41),2,50)</f>
        <v>Mielominės ligos</v>
      </c>
      <c r="C40" s="150" t="str">
        <f>Data!C41</f>
        <v>C90</v>
      </c>
      <c r="D40" s="169">
        <f>Data!DA41</f>
        <v>0</v>
      </c>
      <c r="E40" s="169">
        <f>Data!DB41</f>
        <v>0</v>
      </c>
      <c r="F40" s="169">
        <f>Data!DC41</f>
        <v>0</v>
      </c>
      <c r="G40" s="169">
        <f>Data!DD41</f>
        <v>0</v>
      </c>
      <c r="H40" s="169">
        <f>Data!DE41</f>
        <v>0</v>
      </c>
      <c r="I40" s="169">
        <f>Data!DF41</f>
        <v>0</v>
      </c>
      <c r="J40" s="169">
        <f>Data!DG41</f>
        <v>0</v>
      </c>
      <c r="K40" s="169">
        <f>Data!DH41</f>
        <v>0</v>
      </c>
      <c r="L40" s="169">
        <f>Data!DI41</f>
        <v>0</v>
      </c>
      <c r="M40" s="169">
        <f>Data!DJ41</f>
        <v>0</v>
      </c>
      <c r="N40" s="169">
        <f>Data!DK41</f>
        <v>0</v>
      </c>
      <c r="O40" s="169">
        <f>Data!DL41</f>
        <v>5</v>
      </c>
      <c r="P40" s="169">
        <f>Data!DM41</f>
        <v>6</v>
      </c>
      <c r="Q40" s="169">
        <f>Data!DN41</f>
        <v>5</v>
      </c>
      <c r="R40" s="169">
        <f>Data!DO41</f>
        <v>18</v>
      </c>
      <c r="S40" s="169">
        <f>Data!DP41</f>
        <v>14</v>
      </c>
      <c r="T40" s="169">
        <f>Data!DQ41</f>
        <v>10</v>
      </c>
      <c r="U40" s="169">
        <f>Data!DR41</f>
        <v>3</v>
      </c>
      <c r="V40" s="169">
        <f t="shared" si="0"/>
        <v>61</v>
      </c>
      <c r="W40" s="65"/>
    </row>
    <row r="41" spans="1:23" s="27" customFormat="1" ht="12" customHeight="1">
      <c r="A41" s="65"/>
      <c r="B41" s="151" t="str">
        <f>UPPER(LEFT(TRIM(Data!B42),1)) &amp; MID(TRIM(Data!B42),2,50)</f>
        <v>Leukemijos</v>
      </c>
      <c r="C41" s="177" t="str">
        <f>Data!C42</f>
        <v>C91-C95</v>
      </c>
      <c r="D41" s="171">
        <f>Data!DA42</f>
        <v>1</v>
      </c>
      <c r="E41" s="171">
        <f>Data!DB42</f>
        <v>0</v>
      </c>
      <c r="F41" s="171">
        <f>Data!DC42</f>
        <v>0</v>
      </c>
      <c r="G41" s="171">
        <f>Data!DD42</f>
        <v>1</v>
      </c>
      <c r="H41" s="171">
        <f>Data!DE42</f>
        <v>0</v>
      </c>
      <c r="I41" s="171">
        <f>Data!DF42</f>
        <v>0</v>
      </c>
      <c r="J41" s="171">
        <f>Data!DG42</f>
        <v>0</v>
      </c>
      <c r="K41" s="171">
        <f>Data!DH42</f>
        <v>0</v>
      </c>
      <c r="L41" s="171">
        <f>Data!DI42</f>
        <v>3</v>
      </c>
      <c r="M41" s="171">
        <f>Data!DJ42</f>
        <v>2</v>
      </c>
      <c r="N41" s="171">
        <f>Data!DK42</f>
        <v>8</v>
      </c>
      <c r="O41" s="171">
        <f>Data!DL42</f>
        <v>8</v>
      </c>
      <c r="P41" s="171">
        <f>Data!DM42</f>
        <v>11</v>
      </c>
      <c r="Q41" s="171">
        <f>Data!DN42</f>
        <v>10</v>
      </c>
      <c r="R41" s="171">
        <f>Data!DO42</f>
        <v>13</v>
      </c>
      <c r="S41" s="171">
        <f>Data!DP42</f>
        <v>22</v>
      </c>
      <c r="T41" s="171">
        <f>Data!DQ42</f>
        <v>22</v>
      </c>
      <c r="U41" s="171">
        <f>Data!DR42</f>
        <v>13</v>
      </c>
      <c r="V41" s="171">
        <f t="shared" si="0"/>
        <v>114</v>
      </c>
      <c r="W41" s="65"/>
    </row>
    <row r="42" spans="1:23" s="27" customFormat="1" ht="12" customHeight="1">
      <c r="A42" s="65"/>
      <c r="B42" s="150" t="str">
        <f>UPPER(LEFT(TRIM(Data!B43),1)) &amp; MID(TRIM(Data!B43),2,50)</f>
        <v>Kiti limfinio, kraujodaros audinių</v>
      </c>
      <c r="C42" s="150" t="str">
        <f>Data!C43</f>
        <v>C88, C96</v>
      </c>
      <c r="D42" s="169">
        <f>Data!DA43</f>
        <v>0</v>
      </c>
      <c r="E42" s="169">
        <f>Data!DB43</f>
        <v>0</v>
      </c>
      <c r="F42" s="169">
        <f>Data!DC43</f>
        <v>0</v>
      </c>
      <c r="G42" s="169">
        <f>Data!DD43</f>
        <v>0</v>
      </c>
      <c r="H42" s="169">
        <f>Data!DE43</f>
        <v>0</v>
      </c>
      <c r="I42" s="169">
        <f>Data!DF43</f>
        <v>0</v>
      </c>
      <c r="J42" s="169">
        <f>Data!DG43</f>
        <v>0</v>
      </c>
      <c r="K42" s="169">
        <f>Data!DH43</f>
        <v>0</v>
      </c>
      <c r="L42" s="169">
        <f>Data!DI43</f>
        <v>0</v>
      </c>
      <c r="M42" s="169">
        <f>Data!DJ43</f>
        <v>0</v>
      </c>
      <c r="N42" s="169">
        <f>Data!DK43</f>
        <v>1</v>
      </c>
      <c r="O42" s="169">
        <f>Data!DL43</f>
        <v>0</v>
      </c>
      <c r="P42" s="169">
        <f>Data!DM43</f>
        <v>0</v>
      </c>
      <c r="Q42" s="169">
        <f>Data!DN43</f>
        <v>0</v>
      </c>
      <c r="R42" s="169">
        <f>Data!DO43</f>
        <v>0</v>
      </c>
      <c r="S42" s="169">
        <f>Data!DP43</f>
        <v>0</v>
      </c>
      <c r="T42" s="169">
        <f>Data!DQ43</f>
        <v>0</v>
      </c>
      <c r="U42" s="169">
        <f>Data!DR43</f>
        <v>0</v>
      </c>
      <c r="V42" s="169">
        <f t="shared" si="0"/>
        <v>1</v>
      </c>
      <c r="W42" s="65"/>
    </row>
    <row r="43" spans="1:23" s="27" customFormat="1" ht="11.25" customHeight="1">
      <c r="A43" s="65"/>
      <c r="B43" s="110"/>
      <c r="C43" s="120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65"/>
    </row>
    <row r="44" spans="1:23" s="27" customFormat="1" ht="11.25" customHeight="1">
      <c r="A44" s="65"/>
      <c r="B44" s="97" t="str">
        <f>UPPER(LEFT(TRIM(Data!B44),1)) &amp; MID(TRIM(Data!B44),2,50)</f>
        <v>Melanoma in situ</v>
      </c>
      <c r="C44" s="97" t="str">
        <f>Data!C44</f>
        <v>D03</v>
      </c>
      <c r="D44" s="114">
        <f>Data!DA44</f>
        <v>0</v>
      </c>
      <c r="E44" s="114">
        <f>Data!DB44</f>
        <v>0</v>
      </c>
      <c r="F44" s="114">
        <f>Data!DC44</f>
        <v>0</v>
      </c>
      <c r="G44" s="114">
        <f>Data!DD44</f>
        <v>0</v>
      </c>
      <c r="H44" s="114">
        <f>Data!DE44</f>
        <v>0</v>
      </c>
      <c r="I44" s="114">
        <f>Data!DF44</f>
        <v>0</v>
      </c>
      <c r="J44" s="114">
        <f>Data!DG44</f>
        <v>0</v>
      </c>
      <c r="K44" s="114">
        <f>Data!DH44</f>
        <v>0</v>
      </c>
      <c r="L44" s="114">
        <f>Data!DI44</f>
        <v>0</v>
      </c>
      <c r="M44" s="114">
        <f>Data!DJ44</f>
        <v>0</v>
      </c>
      <c r="N44" s="114">
        <f>Data!DK44</f>
        <v>0</v>
      </c>
      <c r="O44" s="114">
        <f>Data!DL44</f>
        <v>0</v>
      </c>
      <c r="P44" s="114">
        <f>Data!DM44</f>
        <v>0</v>
      </c>
      <c r="Q44" s="114">
        <f>Data!DN44</f>
        <v>0</v>
      </c>
      <c r="R44" s="114">
        <f>Data!DO44</f>
        <v>0</v>
      </c>
      <c r="S44" s="114">
        <f>Data!DP44</f>
        <v>0</v>
      </c>
      <c r="T44" s="114">
        <f>Data!DQ44</f>
        <v>0</v>
      </c>
      <c r="U44" s="114">
        <f>Data!DR44</f>
        <v>0</v>
      </c>
      <c r="V44" s="114">
        <f t="shared" si="0"/>
        <v>0</v>
      </c>
      <c r="W44" s="65"/>
    </row>
    <row r="45" spans="1:23" s="27" customFormat="1" ht="11.25" customHeight="1">
      <c r="A45" s="65"/>
      <c r="B45" s="104" t="str">
        <f>UPPER(LEFT(TRIM(Data!B45),1)) &amp; MID(TRIM(Data!B45),2,50)</f>
        <v>Krūties navikai in situ</v>
      </c>
      <c r="C45" s="124" t="str">
        <f>Data!C45</f>
        <v>D05</v>
      </c>
      <c r="D45" s="125">
        <f>Data!DA45</f>
        <v>0</v>
      </c>
      <c r="E45" s="125">
        <f>Data!DB45</f>
        <v>0</v>
      </c>
      <c r="F45" s="125">
        <f>Data!DC45</f>
        <v>0</v>
      </c>
      <c r="G45" s="125">
        <f>Data!DD45</f>
        <v>0</v>
      </c>
      <c r="H45" s="125">
        <f>Data!DE45</f>
        <v>0</v>
      </c>
      <c r="I45" s="125">
        <f>Data!DF45</f>
        <v>0</v>
      </c>
      <c r="J45" s="125">
        <f>Data!DG45</f>
        <v>0</v>
      </c>
      <c r="K45" s="125">
        <f>Data!DH45</f>
        <v>0</v>
      </c>
      <c r="L45" s="125">
        <f>Data!DI45</f>
        <v>0</v>
      </c>
      <c r="M45" s="125">
        <f>Data!DJ45</f>
        <v>0</v>
      </c>
      <c r="N45" s="125">
        <f>Data!DK45</f>
        <v>0</v>
      </c>
      <c r="O45" s="125">
        <f>Data!DL45</f>
        <v>0</v>
      </c>
      <c r="P45" s="125">
        <f>Data!DM45</f>
        <v>0</v>
      </c>
      <c r="Q45" s="125">
        <f>Data!DN45</f>
        <v>0</v>
      </c>
      <c r="R45" s="125">
        <f>Data!DO45</f>
        <v>0</v>
      </c>
      <c r="S45" s="125">
        <f>Data!DP45</f>
        <v>0</v>
      </c>
      <c r="T45" s="125">
        <f>Data!DQ45</f>
        <v>0</v>
      </c>
      <c r="U45" s="125">
        <f>Data!DR45</f>
        <v>0</v>
      </c>
      <c r="V45" s="125">
        <f t="shared" si="0"/>
        <v>0</v>
      </c>
      <c r="W45" s="65"/>
    </row>
    <row r="46" spans="1:23" s="27" customFormat="1" ht="11.25" customHeight="1">
      <c r="A46" s="65"/>
      <c r="B46" s="103" t="str">
        <f>UPPER(LEFT(TRIM(Data!B46),1)) &amp; MID(TRIM(Data!B46),2,50)</f>
        <v>Gimdos kaklelio in situ</v>
      </c>
      <c r="C46" s="103" t="str">
        <f>Data!C46</f>
        <v>D06</v>
      </c>
      <c r="D46" s="122">
        <f>Data!DA46</f>
        <v>0</v>
      </c>
      <c r="E46" s="122">
        <f>Data!DB46</f>
        <v>0</v>
      </c>
      <c r="F46" s="122">
        <f>Data!DC46</f>
        <v>0</v>
      </c>
      <c r="G46" s="122">
        <f>Data!DD46</f>
        <v>0</v>
      </c>
      <c r="H46" s="122">
        <f>Data!DE46</f>
        <v>0</v>
      </c>
      <c r="I46" s="122">
        <f>Data!DF46</f>
        <v>0</v>
      </c>
      <c r="J46" s="122">
        <f>Data!DG46</f>
        <v>0</v>
      </c>
      <c r="K46" s="122">
        <f>Data!DH46</f>
        <v>0</v>
      </c>
      <c r="L46" s="122">
        <f>Data!DI46</f>
        <v>0</v>
      </c>
      <c r="M46" s="122">
        <f>Data!DJ46</f>
        <v>0</v>
      </c>
      <c r="N46" s="122">
        <f>Data!DK46</f>
        <v>0</v>
      </c>
      <c r="O46" s="122">
        <f>Data!DL46</f>
        <v>0</v>
      </c>
      <c r="P46" s="122">
        <f>Data!DM46</f>
        <v>0</v>
      </c>
      <c r="Q46" s="122">
        <f>Data!DN46</f>
        <v>0</v>
      </c>
      <c r="R46" s="122">
        <f>Data!DO46</f>
        <v>0</v>
      </c>
      <c r="S46" s="122">
        <f>Data!DP46</f>
        <v>0</v>
      </c>
      <c r="T46" s="122">
        <f>Data!DQ46</f>
        <v>0</v>
      </c>
      <c r="U46" s="122">
        <f>Data!DR46</f>
        <v>0</v>
      </c>
      <c r="V46" s="122">
        <f t="shared" si="0"/>
        <v>0</v>
      </c>
      <c r="W46" s="65"/>
    </row>
    <row r="47" spans="1:23" s="27" customFormat="1" ht="11.25" customHeight="1">
      <c r="A47" s="65"/>
      <c r="B47" s="104" t="str">
        <f>UPPER(LEFT(TRIM(Data!B47),1)) &amp; MID(TRIM(Data!B47),2,50)</f>
        <v>Šlapimo pūslės in situ</v>
      </c>
      <c r="C47" s="124" t="str">
        <f>Data!C47</f>
        <v>D09.0</v>
      </c>
      <c r="D47" s="125">
        <f>Data!DA47</f>
        <v>0</v>
      </c>
      <c r="E47" s="125">
        <f>Data!DB47</f>
        <v>0</v>
      </c>
      <c r="F47" s="125">
        <f>Data!DC47</f>
        <v>0</v>
      </c>
      <c r="G47" s="125">
        <f>Data!DD47</f>
        <v>0</v>
      </c>
      <c r="H47" s="125">
        <f>Data!DE47</f>
        <v>0</v>
      </c>
      <c r="I47" s="125">
        <f>Data!DF47</f>
        <v>0</v>
      </c>
      <c r="J47" s="125">
        <f>Data!DG47</f>
        <v>0</v>
      </c>
      <c r="K47" s="125">
        <f>Data!DH47</f>
        <v>0</v>
      </c>
      <c r="L47" s="125">
        <f>Data!DI47</f>
        <v>0</v>
      </c>
      <c r="M47" s="125">
        <f>Data!DJ47</f>
        <v>0</v>
      </c>
      <c r="N47" s="125">
        <f>Data!DK47</f>
        <v>0</v>
      </c>
      <c r="O47" s="125">
        <f>Data!DL47</f>
        <v>0</v>
      </c>
      <c r="P47" s="125">
        <f>Data!DM47</f>
        <v>0</v>
      </c>
      <c r="Q47" s="125">
        <f>Data!DN47</f>
        <v>0</v>
      </c>
      <c r="R47" s="125">
        <f>Data!DO47</f>
        <v>0</v>
      </c>
      <c r="S47" s="125">
        <f>Data!DP47</f>
        <v>0</v>
      </c>
      <c r="T47" s="125">
        <f>Data!DQ47</f>
        <v>0</v>
      </c>
      <c r="U47" s="125">
        <f>Data!DR47</f>
        <v>0</v>
      </c>
      <c r="V47" s="125">
        <f t="shared" si="0"/>
        <v>0</v>
      </c>
      <c r="W47" s="65"/>
    </row>
    <row r="48" spans="1:23" s="27" customFormat="1" ht="11.25" customHeight="1">
      <c r="A48" s="65"/>
      <c r="B48" s="103" t="str">
        <f>UPPER(LEFT(TRIM(Data!B48),1)) &amp; MID(TRIM(Data!B48),2,50)</f>
        <v>Nervų sistemos gerybiniai navikai</v>
      </c>
      <c r="C48" s="103" t="str">
        <f>Data!C48</f>
        <v>D32, D33</v>
      </c>
      <c r="D48" s="122">
        <f>Data!DA48</f>
        <v>0</v>
      </c>
      <c r="E48" s="122">
        <f>Data!DB48</f>
        <v>0</v>
      </c>
      <c r="F48" s="122">
        <f>Data!DC48</f>
        <v>0</v>
      </c>
      <c r="G48" s="122">
        <f>Data!DD48</f>
        <v>0</v>
      </c>
      <c r="H48" s="122">
        <f>Data!DE48</f>
        <v>0</v>
      </c>
      <c r="I48" s="122">
        <f>Data!DF48</f>
        <v>0</v>
      </c>
      <c r="J48" s="122">
        <f>Data!DG48</f>
        <v>0</v>
      </c>
      <c r="K48" s="122">
        <f>Data!DH48</f>
        <v>0</v>
      </c>
      <c r="L48" s="122">
        <f>Data!DI48</f>
        <v>0</v>
      </c>
      <c r="M48" s="122">
        <f>Data!DJ48</f>
        <v>0</v>
      </c>
      <c r="N48" s="122">
        <f>Data!DK48</f>
        <v>1</v>
      </c>
      <c r="O48" s="122">
        <f>Data!DL48</f>
        <v>1</v>
      </c>
      <c r="P48" s="122">
        <f>Data!DM48</f>
        <v>0</v>
      </c>
      <c r="Q48" s="122">
        <f>Data!DN48</f>
        <v>5</v>
      </c>
      <c r="R48" s="122">
        <f>Data!DO48</f>
        <v>6</v>
      </c>
      <c r="S48" s="122">
        <f>Data!DP48</f>
        <v>2</v>
      </c>
      <c r="T48" s="122">
        <f>Data!DQ48</f>
        <v>3</v>
      </c>
      <c r="U48" s="122">
        <f>Data!DR48</f>
        <v>3</v>
      </c>
      <c r="V48" s="122">
        <f t="shared" si="0"/>
        <v>21</v>
      </c>
      <c r="W48" s="65"/>
    </row>
    <row r="49" spans="1:27" s="27" customFormat="1" ht="11.25" customHeight="1">
      <c r="A49" s="65"/>
      <c r="B49" s="104" t="str">
        <f>UPPER(LEFT(TRIM(Data!B49),1)) &amp; MID(TRIM(Data!B49),2,50)</f>
        <v>Kiaušidžių</v>
      </c>
      <c r="C49" s="124" t="str">
        <f>Data!C49</f>
        <v>D39.1</v>
      </c>
      <c r="D49" s="125">
        <f>Data!DA49</f>
        <v>0</v>
      </c>
      <c r="E49" s="125">
        <f>Data!DB49</f>
        <v>0</v>
      </c>
      <c r="F49" s="125">
        <f>Data!DC49</f>
        <v>0</v>
      </c>
      <c r="G49" s="125">
        <f>Data!DD49</f>
        <v>0</v>
      </c>
      <c r="H49" s="125">
        <f>Data!DE49</f>
        <v>0</v>
      </c>
      <c r="I49" s="125">
        <f>Data!DF49</f>
        <v>0</v>
      </c>
      <c r="J49" s="125">
        <f>Data!DG49</f>
        <v>0</v>
      </c>
      <c r="K49" s="125">
        <f>Data!DH49</f>
        <v>0</v>
      </c>
      <c r="L49" s="125">
        <f>Data!DI49</f>
        <v>0</v>
      </c>
      <c r="M49" s="125">
        <f>Data!DJ49</f>
        <v>0</v>
      </c>
      <c r="N49" s="125">
        <f>Data!DK49</f>
        <v>0</v>
      </c>
      <c r="O49" s="125">
        <f>Data!DL49</f>
        <v>0</v>
      </c>
      <c r="P49" s="125">
        <f>Data!DM49</f>
        <v>0</v>
      </c>
      <c r="Q49" s="125">
        <f>Data!DN49</f>
        <v>0</v>
      </c>
      <c r="R49" s="125">
        <f>Data!DO49</f>
        <v>0</v>
      </c>
      <c r="S49" s="125">
        <f>Data!DP49</f>
        <v>0</v>
      </c>
      <c r="T49" s="125">
        <f>Data!DQ49</f>
        <v>0</v>
      </c>
      <c r="U49" s="125">
        <f>Data!DR49</f>
        <v>0</v>
      </c>
      <c r="V49" s="125">
        <f t="shared" si="0"/>
        <v>0</v>
      </c>
      <c r="W49" s="65"/>
    </row>
    <row r="50" spans="1:27" s="27" customFormat="1" ht="11.25" customHeight="1">
      <c r="A50" s="65"/>
      <c r="B50" s="103" t="str">
        <f>UPPER(LEFT(TRIM(Data!B50),1)) &amp; MID(TRIM(Data!B50),2,50)</f>
        <v>Kiti nervų sistemos</v>
      </c>
      <c r="C50" s="103" t="str">
        <f>Data!C50</f>
        <v>D42, D43</v>
      </c>
      <c r="D50" s="122">
        <f>Data!DA50</f>
        <v>0</v>
      </c>
      <c r="E50" s="122">
        <f>Data!DB50</f>
        <v>0</v>
      </c>
      <c r="F50" s="122">
        <f>Data!DC50</f>
        <v>1</v>
      </c>
      <c r="G50" s="122">
        <f>Data!DD50</f>
        <v>0</v>
      </c>
      <c r="H50" s="122">
        <f>Data!DE50</f>
        <v>0</v>
      </c>
      <c r="I50" s="122">
        <f>Data!DF50</f>
        <v>0</v>
      </c>
      <c r="J50" s="122">
        <f>Data!DG50</f>
        <v>0</v>
      </c>
      <c r="K50" s="122">
        <f>Data!DH50</f>
        <v>0</v>
      </c>
      <c r="L50" s="122">
        <f>Data!DI50</f>
        <v>0</v>
      </c>
      <c r="M50" s="122">
        <f>Data!DJ50</f>
        <v>0</v>
      </c>
      <c r="N50" s="122">
        <f>Data!DK50</f>
        <v>0</v>
      </c>
      <c r="O50" s="122">
        <f>Data!DL50</f>
        <v>0</v>
      </c>
      <c r="P50" s="122">
        <f>Data!DM50</f>
        <v>0</v>
      </c>
      <c r="Q50" s="122">
        <f>Data!DN50</f>
        <v>0</v>
      </c>
      <c r="R50" s="122">
        <f>Data!DO50</f>
        <v>2</v>
      </c>
      <c r="S50" s="122">
        <f>Data!DP50</f>
        <v>1</v>
      </c>
      <c r="T50" s="122">
        <f>Data!DQ50</f>
        <v>1</v>
      </c>
      <c r="U50" s="122">
        <f>Data!DR50</f>
        <v>1</v>
      </c>
      <c r="V50" s="122">
        <f t="shared" si="0"/>
        <v>6</v>
      </c>
      <c r="W50" s="65"/>
    </row>
    <row r="51" spans="1:27" s="27" customFormat="1" ht="11.25" customHeight="1">
      <c r="A51" s="65"/>
      <c r="B51" s="104" t="str">
        <f>UPPER(LEFT(TRIM(Data!B51),1)) &amp; MID(TRIM(Data!B51),2,50)</f>
        <v>Limfinio ir kraujodaros audinių</v>
      </c>
      <c r="C51" s="124" t="str">
        <f>Data!C51</f>
        <v>D45-D47</v>
      </c>
      <c r="D51" s="125">
        <f>Data!DA51</f>
        <v>0</v>
      </c>
      <c r="E51" s="125">
        <f>Data!DB51</f>
        <v>0</v>
      </c>
      <c r="F51" s="125">
        <f>Data!DC51</f>
        <v>0</v>
      </c>
      <c r="G51" s="125">
        <f>Data!DD51</f>
        <v>0</v>
      </c>
      <c r="H51" s="125">
        <f>Data!DE51</f>
        <v>0</v>
      </c>
      <c r="I51" s="125">
        <f>Data!DF51</f>
        <v>0</v>
      </c>
      <c r="J51" s="125">
        <f>Data!DG51</f>
        <v>0</v>
      </c>
      <c r="K51" s="125">
        <f>Data!DH51</f>
        <v>0</v>
      </c>
      <c r="L51" s="125">
        <f>Data!DI51</f>
        <v>0</v>
      </c>
      <c r="M51" s="125">
        <f>Data!DJ51</f>
        <v>0</v>
      </c>
      <c r="N51" s="125">
        <f>Data!DK51</f>
        <v>0</v>
      </c>
      <c r="O51" s="125">
        <f>Data!DL51</f>
        <v>0</v>
      </c>
      <c r="P51" s="125">
        <f>Data!DM51</f>
        <v>2</v>
      </c>
      <c r="Q51" s="125">
        <f>Data!DN51</f>
        <v>0</v>
      </c>
      <c r="R51" s="125">
        <f>Data!DO51</f>
        <v>7</v>
      </c>
      <c r="S51" s="125">
        <f>Data!DP51</f>
        <v>3</v>
      </c>
      <c r="T51" s="125">
        <f>Data!DQ51</f>
        <v>7</v>
      </c>
      <c r="U51" s="125">
        <f>Data!DR51</f>
        <v>9</v>
      </c>
      <c r="V51" s="125">
        <f t="shared" si="0"/>
        <v>28</v>
      </c>
      <c r="W51" s="65"/>
    </row>
    <row r="52" spans="1:27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</row>
    <row r="53" spans="1:27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</row>
    <row r="54" spans="1:27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AA54" t="s">
        <v>615</v>
      </c>
    </row>
  </sheetData>
  <mergeCells count="4">
    <mergeCell ref="B4:B5"/>
    <mergeCell ref="C4:C5"/>
    <mergeCell ref="D4:U4"/>
    <mergeCell ref="V4:V5"/>
  </mergeCells>
  <phoneticPr fontId="13" type="noConversion"/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/>
  </sheetPr>
  <dimension ref="A1:W45"/>
  <sheetViews>
    <sheetView workbookViewId="0">
      <selection activeCell="B4" sqref="B4"/>
    </sheetView>
  </sheetViews>
  <sheetFormatPr defaultRowHeight="11.25"/>
  <cols>
    <col min="1" max="1" width="1.7109375" style="183" customWidth="1"/>
    <col min="2" max="2" width="28.7109375" style="183" customWidth="1"/>
    <col min="3" max="3" width="23.7109375" style="183" customWidth="1"/>
    <col min="4" max="16" width="6" style="183" customWidth="1"/>
    <col min="17" max="21" width="6.28515625" style="183" customWidth="1"/>
    <col min="22" max="22" width="7.28515625" style="183" customWidth="1"/>
    <col min="23" max="32" width="0.85546875" style="183" customWidth="1"/>
    <col min="33" max="16384" width="9.140625" style="183"/>
  </cols>
  <sheetData>
    <row r="1" spans="1:23" ht="15">
      <c r="A1" s="182"/>
      <c r="B1" s="433" t="s">
        <v>404</v>
      </c>
      <c r="C1" s="467"/>
      <c r="D1" s="467"/>
      <c r="E1" s="467"/>
      <c r="F1" s="467"/>
      <c r="G1" s="467"/>
      <c r="H1" s="467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</row>
    <row r="2" spans="1:23" ht="12.75">
      <c r="A2" s="182"/>
      <c r="B2" s="468"/>
      <c r="C2" s="468"/>
      <c r="D2" s="469">
        <f>Lent02v!S4</f>
        <v>77411</v>
      </c>
      <c r="E2" s="469">
        <f>Lent02v!T4</f>
        <v>71269</v>
      </c>
      <c r="F2" s="469">
        <f>Lent02v!U4</f>
        <v>68846</v>
      </c>
      <c r="G2" s="469">
        <f>Lent02v!V4</f>
        <v>85448</v>
      </c>
      <c r="H2" s="469">
        <f>Lent02v!W4</f>
        <v>103455</v>
      </c>
      <c r="I2" s="316">
        <f>Lent02v!X4</f>
        <v>100471</v>
      </c>
      <c r="J2" s="316">
        <f>Lent02v!Y4</f>
        <v>90329</v>
      </c>
      <c r="K2" s="316">
        <f>Lent02v!Z4</f>
        <v>87159</v>
      </c>
      <c r="L2" s="316">
        <f>Lent02v!AA4</f>
        <v>95371</v>
      </c>
      <c r="M2" s="316">
        <f>Lent02v!AB4</f>
        <v>98989</v>
      </c>
      <c r="N2" s="316">
        <f>Lent02v!AC4</f>
        <v>105736</v>
      </c>
      <c r="O2" s="316">
        <f>Lent02v!AD4</f>
        <v>96361</v>
      </c>
      <c r="P2" s="316">
        <f>Lent02v!AE4</f>
        <v>72856</v>
      </c>
      <c r="Q2" s="316">
        <f>Lent02v!AF4</f>
        <v>57241</v>
      </c>
      <c r="R2" s="316">
        <f>Lent02v!AG4</f>
        <v>47318</v>
      </c>
      <c r="S2" s="316">
        <f>Lent02v!AH4</f>
        <v>39525</v>
      </c>
      <c r="T2" s="316">
        <f>Lent02v!AI4</f>
        <v>24886</v>
      </c>
      <c r="U2" s="316">
        <f>Lent02v!AJ4</f>
        <v>15261</v>
      </c>
      <c r="V2" s="316">
        <f>SUM(D2:U2)</f>
        <v>1337932</v>
      </c>
      <c r="W2" s="182"/>
    </row>
    <row r="3" spans="1:23" ht="12.75">
      <c r="A3" s="182"/>
      <c r="B3" s="470" t="str">
        <f>"Mirčių dėl piktybinių navikų atvejų skaičius 100 000 gyventojų, pagal amžiaus grupes  " &amp; GrafikaiSerg!A1 &amp; " metais. Vyrai."</f>
        <v>Mirčių dėl piktybinių navikų atvejų skaičius 100 000 gyventojų, pagal amžiaus grupes  2015 metais. Vyrai.</v>
      </c>
      <c r="C3" s="470"/>
      <c r="D3" s="467"/>
      <c r="E3" s="467"/>
      <c r="F3" s="467"/>
      <c r="G3" s="467"/>
      <c r="H3" s="467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</row>
    <row r="4" spans="1:23" ht="12.75">
      <c r="A4" s="182"/>
      <c r="B4" s="185" t="s">
        <v>624</v>
      </c>
      <c r="C4" s="184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2"/>
    </row>
    <row r="5" spans="1:23" ht="12" customHeight="1">
      <c r="A5" s="182"/>
      <c r="B5" s="536" t="s">
        <v>243</v>
      </c>
      <c r="C5" s="536" t="s">
        <v>244</v>
      </c>
      <c r="D5" s="538" t="s">
        <v>419</v>
      </c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40"/>
      <c r="V5" s="541" t="s">
        <v>427</v>
      </c>
      <c r="W5" s="182"/>
    </row>
    <row r="6" spans="1:23" ht="12" customHeight="1" thickBot="1">
      <c r="A6" s="182"/>
      <c r="B6" s="537"/>
      <c r="C6" s="537"/>
      <c r="D6" s="199" t="s">
        <v>13</v>
      </c>
      <c r="E6" s="199" t="s">
        <v>11</v>
      </c>
      <c r="F6" s="199" t="s">
        <v>12</v>
      </c>
      <c r="G6" s="199" t="s">
        <v>14</v>
      </c>
      <c r="H6" s="199" t="s">
        <v>15</v>
      </c>
      <c r="I6" s="199" t="s">
        <v>16</v>
      </c>
      <c r="J6" s="199" t="s">
        <v>158</v>
      </c>
      <c r="K6" s="199" t="s">
        <v>17</v>
      </c>
      <c r="L6" s="199" t="s">
        <v>18</v>
      </c>
      <c r="M6" s="199" t="s">
        <v>19</v>
      </c>
      <c r="N6" s="199" t="s">
        <v>20</v>
      </c>
      <c r="O6" s="199" t="s">
        <v>21</v>
      </c>
      <c r="P6" s="199" t="s">
        <v>159</v>
      </c>
      <c r="Q6" s="199" t="s">
        <v>160</v>
      </c>
      <c r="R6" s="199" t="s">
        <v>161</v>
      </c>
      <c r="S6" s="199" t="s">
        <v>162</v>
      </c>
      <c r="T6" s="199" t="s">
        <v>22</v>
      </c>
      <c r="U6" s="199" t="s">
        <v>23</v>
      </c>
      <c r="V6" s="542"/>
      <c r="W6" s="182"/>
    </row>
    <row r="7" spans="1:23" ht="12" customHeight="1" thickTop="1">
      <c r="A7" s="182"/>
      <c r="B7" s="187" t="str">
        <f>UPPER(LEFT(TRIM(Data!B5),1)) &amp; MID(TRIM(Data!B5),2,50)</f>
        <v>Piktybiniai navikai</v>
      </c>
      <c r="C7" s="188" t="str">
        <f>Data!C5</f>
        <v>C00-C96</v>
      </c>
      <c r="D7" s="205">
        <f>Data!AN5/D$2*100000</f>
        <v>6.4590303703608019</v>
      </c>
      <c r="E7" s="205">
        <f>Data!AO5/E$2*100000</f>
        <v>0</v>
      </c>
      <c r="F7" s="205">
        <f>Data!AP5/F$2*100000</f>
        <v>4.3575516369868987</v>
      </c>
      <c r="G7" s="205">
        <f>Data!AQ5/G$2*100000</f>
        <v>2.3406048122834942</v>
      </c>
      <c r="H7" s="205">
        <f>Data!AR5/H$2*100000</f>
        <v>4.8330191870861725</v>
      </c>
      <c r="I7" s="205">
        <f>Data!AS5/I$2*100000</f>
        <v>5.9718724806162973</v>
      </c>
      <c r="J7" s="205">
        <f>Data!AT5/J$2*100000</f>
        <v>14.39183429463406</v>
      </c>
      <c r="K7" s="205">
        <f>Data!AU5/K$2*100000</f>
        <v>30.977868034282171</v>
      </c>
      <c r="L7" s="205">
        <f>Data!AV5/L$2*100000</f>
        <v>62.912206016503973</v>
      </c>
      <c r="M7" s="205">
        <f>Data!AW5/M$2*100000</f>
        <v>102.03153885785289</v>
      </c>
      <c r="N7" s="205">
        <f>Data!AX5/N$2*100000</f>
        <v>274.26798819701901</v>
      </c>
      <c r="O7" s="205">
        <f>Data!AY5/O$2*100000</f>
        <v>458.6917943981486</v>
      </c>
      <c r="P7" s="205">
        <f>Data!AZ5/P$2*100000</f>
        <v>783.7377841221039</v>
      </c>
      <c r="Q7" s="205">
        <f>Data!BA5/Q$2*100000</f>
        <v>1177.4776820810259</v>
      </c>
      <c r="R7" s="205">
        <f>Data!BB5/R$2*100000</f>
        <v>1527.959761612917</v>
      </c>
      <c r="S7" s="205">
        <f>Data!BC5/S$2*100000</f>
        <v>1882.3529411764705</v>
      </c>
      <c r="T7" s="205">
        <f>Data!BD5/T$2*100000</f>
        <v>2314.5543679177049</v>
      </c>
      <c r="U7" s="205">
        <f>Data!BE5/U$2*100000</f>
        <v>2640.7181704999671</v>
      </c>
      <c r="V7" s="205">
        <f>Data!E5/V$2*100000</f>
        <v>347.17758451102145</v>
      </c>
      <c r="W7" s="182"/>
    </row>
    <row r="8" spans="1:23" ht="12" customHeight="1">
      <c r="A8" s="182"/>
      <c r="B8" s="201" t="str">
        <f>UPPER(LEFT(TRIM(Data!B6),1)) &amp; MID(TRIM(Data!B6),2,50)</f>
        <v>Lūpos</v>
      </c>
      <c r="C8" s="202" t="str">
        <f>Data!C6</f>
        <v>C00</v>
      </c>
      <c r="D8" s="206">
        <f>Data!AN6/D$2*100000</f>
        <v>0</v>
      </c>
      <c r="E8" s="206">
        <f>Data!AO6/E$2*100000</f>
        <v>0</v>
      </c>
      <c r="F8" s="206">
        <f>Data!AP6/F$2*100000</f>
        <v>0</v>
      </c>
      <c r="G8" s="206">
        <f>Data!AQ6/G$2*100000</f>
        <v>0</v>
      </c>
      <c r="H8" s="206">
        <f>Data!AR6/H$2*100000</f>
        <v>0</v>
      </c>
      <c r="I8" s="206">
        <f>Data!AS6/I$2*100000</f>
        <v>0</v>
      </c>
      <c r="J8" s="206">
        <f>Data!AT6/J$2*100000</f>
        <v>0</v>
      </c>
      <c r="K8" s="206">
        <f>Data!AU6/K$2*100000</f>
        <v>0</v>
      </c>
      <c r="L8" s="206">
        <f>Data!AV6/L$2*100000</f>
        <v>0</v>
      </c>
      <c r="M8" s="206">
        <f>Data!AW6/M$2*100000</f>
        <v>0</v>
      </c>
      <c r="N8" s="206">
        <f>Data!AX6/N$2*100000</f>
        <v>0</v>
      </c>
      <c r="O8" s="206">
        <f>Data!AY6/O$2*100000</f>
        <v>0</v>
      </c>
      <c r="P8" s="206">
        <f>Data!AZ6/P$2*100000</f>
        <v>0</v>
      </c>
      <c r="Q8" s="206">
        <f>Data!BA6/Q$2*100000</f>
        <v>0</v>
      </c>
      <c r="R8" s="206">
        <f>Data!BB6/R$2*100000</f>
        <v>4.2267213322625636</v>
      </c>
      <c r="S8" s="206">
        <f>Data!BC6/S$2*100000</f>
        <v>0</v>
      </c>
      <c r="T8" s="206">
        <f>Data!BD6/T$2*100000</f>
        <v>12.054970666238045</v>
      </c>
      <c r="U8" s="206">
        <f>Data!BE6/U$2*100000</f>
        <v>0</v>
      </c>
      <c r="V8" s="206">
        <f>Data!E6/V$2*100000</f>
        <v>0.37371107051778418</v>
      </c>
      <c r="W8" s="182"/>
    </row>
    <row r="9" spans="1:23" ht="12" customHeight="1">
      <c r="A9" s="182"/>
      <c r="B9" s="187" t="str">
        <f>UPPER(LEFT(TRIM(Data!B7),1)) &amp; MID(TRIM(Data!B7),2,50)</f>
        <v>Burnos ertmės ir ryklės</v>
      </c>
      <c r="C9" s="188" t="str">
        <f>Data!C7</f>
        <v>C01-C14</v>
      </c>
      <c r="D9" s="205">
        <f>Data!AN7/D$2*100000</f>
        <v>0</v>
      </c>
      <c r="E9" s="205">
        <f>Data!AO7/E$2*100000</f>
        <v>0</v>
      </c>
      <c r="F9" s="205">
        <f>Data!AP7/F$2*100000</f>
        <v>0</v>
      </c>
      <c r="G9" s="205">
        <f>Data!AQ7/G$2*100000</f>
        <v>0</v>
      </c>
      <c r="H9" s="205">
        <f>Data!AR7/H$2*100000</f>
        <v>0</v>
      </c>
      <c r="I9" s="205">
        <f>Data!AS7/I$2*100000</f>
        <v>0</v>
      </c>
      <c r="J9" s="205">
        <f>Data!AT7/J$2*100000</f>
        <v>0</v>
      </c>
      <c r="K9" s="205">
        <f>Data!AU7/K$2*100000</f>
        <v>2.2946568914283092</v>
      </c>
      <c r="L9" s="205">
        <f>Data!AV7/L$2*100000</f>
        <v>12.582441203300794</v>
      </c>
      <c r="M9" s="205">
        <f>Data!AW7/M$2*100000</f>
        <v>16.163412096293527</v>
      </c>
      <c r="N9" s="205">
        <f>Data!AX7/N$2*100000</f>
        <v>34.992812287205872</v>
      </c>
      <c r="O9" s="205">
        <f>Data!AY7/O$2*100000</f>
        <v>52.925976276709449</v>
      </c>
      <c r="P9" s="205">
        <f>Data!AZ7/P$2*100000</f>
        <v>59.020533655429887</v>
      </c>
      <c r="Q9" s="205">
        <f>Data!BA7/Q$2*100000</f>
        <v>50.662986320993689</v>
      </c>
      <c r="R9" s="205">
        <f>Data!BB7/R$2*100000</f>
        <v>42.267213322625636</v>
      </c>
      <c r="S9" s="205">
        <f>Data!BC7/S$2*100000</f>
        <v>32.890575585072739</v>
      </c>
      <c r="T9" s="205">
        <f>Data!BD7/T$2*100000</f>
        <v>16.073294221650727</v>
      </c>
      <c r="U9" s="205">
        <f>Data!BE7/U$2*100000</f>
        <v>26.210602188585284</v>
      </c>
      <c r="V9" s="205">
        <f>Data!E7/V$2*100000</f>
        <v>17.265451457921628</v>
      </c>
      <c r="W9" s="182"/>
    </row>
    <row r="10" spans="1:23" ht="12" customHeight="1">
      <c r="A10" s="182"/>
      <c r="B10" s="201" t="str">
        <f>UPPER(LEFT(TRIM(Data!B8),1)) &amp; MID(TRIM(Data!B8),2,50)</f>
        <v>Stemplės</v>
      </c>
      <c r="C10" s="202" t="str">
        <f>Data!C8</f>
        <v>C15</v>
      </c>
      <c r="D10" s="206">
        <f>Data!AN8/D$2*100000</f>
        <v>0</v>
      </c>
      <c r="E10" s="206">
        <f>Data!AO8/E$2*100000</f>
        <v>0</v>
      </c>
      <c r="F10" s="206">
        <f>Data!AP8/F$2*100000</f>
        <v>0</v>
      </c>
      <c r="G10" s="206">
        <f>Data!AQ8/G$2*100000</f>
        <v>0</v>
      </c>
      <c r="H10" s="206">
        <f>Data!AR8/H$2*100000</f>
        <v>0</v>
      </c>
      <c r="I10" s="206">
        <f>Data!AS8/I$2*100000</f>
        <v>0</v>
      </c>
      <c r="J10" s="206">
        <f>Data!AT8/J$2*100000</f>
        <v>0</v>
      </c>
      <c r="K10" s="206">
        <f>Data!AU8/K$2*100000</f>
        <v>0</v>
      </c>
      <c r="L10" s="206">
        <f>Data!AV8/L$2*100000</f>
        <v>3.1456103008251985</v>
      </c>
      <c r="M10" s="206">
        <f>Data!AW8/M$2*100000</f>
        <v>8.0817060481467635</v>
      </c>
      <c r="N10" s="206">
        <f>Data!AX8/N$2*100000</f>
        <v>13.24052356813195</v>
      </c>
      <c r="O10" s="206">
        <f>Data!AY8/O$2*100000</f>
        <v>28.019634499434421</v>
      </c>
      <c r="P10" s="206">
        <f>Data!AZ8/P$2*100000</f>
        <v>41.177116503788298</v>
      </c>
      <c r="Q10" s="206">
        <f>Data!BA8/Q$2*100000</f>
        <v>62.891983019164584</v>
      </c>
      <c r="R10" s="206">
        <f>Data!BB8/R$2*100000</f>
        <v>42.267213322625636</v>
      </c>
      <c r="S10" s="206">
        <f>Data!BC8/S$2*100000</f>
        <v>37.950664136622393</v>
      </c>
      <c r="T10" s="206">
        <f>Data!BD8/T$2*100000</f>
        <v>60.274853331190229</v>
      </c>
      <c r="U10" s="206">
        <f>Data!BE8/U$2*100000</f>
        <v>26.210602188585284</v>
      </c>
      <c r="V10" s="206">
        <f>Data!E8/V$2*100000</f>
        <v>12.855660825811775</v>
      </c>
      <c r="W10" s="182"/>
    </row>
    <row r="11" spans="1:23" ht="12" customHeight="1">
      <c r="A11" s="182"/>
      <c r="B11" s="187" t="str">
        <f>UPPER(LEFT(TRIM(Data!B9),1)) &amp; MID(TRIM(Data!B9),2,50)</f>
        <v>Skrandžio</v>
      </c>
      <c r="C11" s="188" t="str">
        <f>Data!C9</f>
        <v>C16</v>
      </c>
      <c r="D11" s="205">
        <f>Data!AN9/D$2*100000</f>
        <v>0</v>
      </c>
      <c r="E11" s="205">
        <f>Data!AO9/E$2*100000</f>
        <v>0</v>
      </c>
      <c r="F11" s="205">
        <f>Data!AP9/F$2*100000</f>
        <v>0</v>
      </c>
      <c r="G11" s="205">
        <f>Data!AQ9/G$2*100000</f>
        <v>0</v>
      </c>
      <c r="H11" s="205">
        <f>Data!AR9/H$2*100000</f>
        <v>0</v>
      </c>
      <c r="I11" s="205">
        <f>Data!AS9/I$2*100000</f>
        <v>0</v>
      </c>
      <c r="J11" s="205">
        <f>Data!AT9/J$2*100000</f>
        <v>0</v>
      </c>
      <c r="K11" s="205">
        <f>Data!AU9/K$2*100000</f>
        <v>1.1473284457141546</v>
      </c>
      <c r="L11" s="205">
        <f>Data!AV9/L$2*100000</f>
        <v>7.3397573685921289</v>
      </c>
      <c r="M11" s="205">
        <f>Data!AW9/M$2*100000</f>
        <v>13.132772328238492</v>
      </c>
      <c r="N11" s="205">
        <f>Data!AX9/N$2*100000</f>
        <v>28.372550503139895</v>
      </c>
      <c r="O11" s="205">
        <f>Data!AY9/O$2*100000</f>
        <v>29.057398740154213</v>
      </c>
      <c r="P11" s="205">
        <f>Data!AZ9/P$2*100000</f>
        <v>63.138245305808717</v>
      </c>
      <c r="Q11" s="205">
        <f>Data!BA9/Q$2*100000</f>
        <v>89.096975943816489</v>
      </c>
      <c r="R11" s="205">
        <f>Data!BB9/R$2*100000</f>
        <v>133.14172196627075</v>
      </c>
      <c r="S11" s="205">
        <f>Data!BC9/S$2*100000</f>
        <v>207.46363061353574</v>
      </c>
      <c r="T11" s="205">
        <f>Data!BD9/T$2*100000</f>
        <v>216.98947199228482</v>
      </c>
      <c r="U11" s="205">
        <f>Data!BE9/U$2*100000</f>
        <v>249.00072079156016</v>
      </c>
      <c r="V11" s="205">
        <f>Data!E9/V$2*100000</f>
        <v>30.868534424768971</v>
      </c>
      <c r="W11" s="182"/>
    </row>
    <row r="12" spans="1:23" ht="12" customHeight="1">
      <c r="A12" s="182"/>
      <c r="B12" s="201" t="str">
        <f>UPPER(LEFT(TRIM(Data!B10),1)) &amp; MID(TRIM(Data!B10),2,50)</f>
        <v>Gaubtinės žarnos</v>
      </c>
      <c r="C12" s="202" t="str">
        <f>Data!C10</f>
        <v>C18</v>
      </c>
      <c r="D12" s="206">
        <f>Data!AN10/D$2*100000</f>
        <v>0</v>
      </c>
      <c r="E12" s="206">
        <f>Data!AO10/E$2*100000</f>
        <v>0</v>
      </c>
      <c r="F12" s="206">
        <f>Data!AP10/F$2*100000</f>
        <v>0</v>
      </c>
      <c r="G12" s="206">
        <f>Data!AQ10/G$2*100000</f>
        <v>0</v>
      </c>
      <c r="H12" s="206">
        <f>Data!AR10/H$2*100000</f>
        <v>0.96660383741723443</v>
      </c>
      <c r="I12" s="206">
        <f>Data!AS10/I$2*100000</f>
        <v>0</v>
      </c>
      <c r="J12" s="206">
        <f>Data!AT10/J$2*100000</f>
        <v>0</v>
      </c>
      <c r="K12" s="206">
        <f>Data!AU10/K$2*100000</f>
        <v>1.1473284457141546</v>
      </c>
      <c r="L12" s="206">
        <f>Data!AV10/L$2*100000</f>
        <v>0</v>
      </c>
      <c r="M12" s="206">
        <f>Data!AW10/M$2*100000</f>
        <v>2.0204265120366909</v>
      </c>
      <c r="N12" s="206">
        <f>Data!AX10/N$2*100000</f>
        <v>7.5660134675039723</v>
      </c>
      <c r="O12" s="206">
        <f>Data!AY10/O$2*100000</f>
        <v>19.717520573676072</v>
      </c>
      <c r="P12" s="206">
        <f>Data!AZ10/P$2*100000</f>
        <v>19.215987701767872</v>
      </c>
      <c r="Q12" s="206">
        <f>Data!BA10/Q$2*100000</f>
        <v>61.144983490854457</v>
      </c>
      <c r="R12" s="206">
        <f>Data!BB10/R$2*100000</f>
        <v>92.9878693097764</v>
      </c>
      <c r="S12" s="206">
        <f>Data!BC10/S$2*100000</f>
        <v>149.27261227071475</v>
      </c>
      <c r="T12" s="206">
        <f>Data!BD10/T$2*100000</f>
        <v>180.82455999357069</v>
      </c>
      <c r="U12" s="206">
        <f>Data!BE10/U$2*100000</f>
        <v>190.02686586724332</v>
      </c>
      <c r="V12" s="206">
        <f>Data!E10/V$2*100000</f>
        <v>19.208749024614107</v>
      </c>
      <c r="W12" s="182"/>
    </row>
    <row r="13" spans="1:23" ht="12" customHeight="1">
      <c r="A13" s="182"/>
      <c r="B13" s="187" t="str">
        <f>UPPER(LEFT(TRIM(Data!B11),1)) &amp; MID(TRIM(Data!B11),2,50)</f>
        <v>Tiesiosios žarnos, išangės</v>
      </c>
      <c r="C13" s="188" t="str">
        <f>Data!C11</f>
        <v>C19-C21</v>
      </c>
      <c r="D13" s="205">
        <f>Data!AN11/D$2*100000</f>
        <v>0</v>
      </c>
      <c r="E13" s="205">
        <f>Data!AO11/E$2*100000</f>
        <v>0</v>
      </c>
      <c r="F13" s="205">
        <f>Data!AP11/F$2*100000</f>
        <v>0</v>
      </c>
      <c r="G13" s="205">
        <f>Data!AQ11/G$2*100000</f>
        <v>0</v>
      </c>
      <c r="H13" s="205">
        <f>Data!AR11/H$2*100000</f>
        <v>0</v>
      </c>
      <c r="I13" s="205">
        <f>Data!AS11/I$2*100000</f>
        <v>0</v>
      </c>
      <c r="J13" s="205">
        <f>Data!AT11/J$2*100000</f>
        <v>1.1070641765103124</v>
      </c>
      <c r="K13" s="205">
        <f>Data!AU11/K$2*100000</f>
        <v>0</v>
      </c>
      <c r="L13" s="205">
        <f>Data!AV11/L$2*100000</f>
        <v>3.1456103008251985</v>
      </c>
      <c r="M13" s="205">
        <f>Data!AW11/M$2*100000</f>
        <v>7.0714927921284181</v>
      </c>
      <c r="N13" s="205">
        <f>Data!AX11/N$2*100000</f>
        <v>8.5117651509419687</v>
      </c>
      <c r="O13" s="205">
        <f>Data!AY11/O$2*100000</f>
        <v>18.679756332956277</v>
      </c>
      <c r="P13" s="205">
        <f>Data!AZ11/P$2*100000</f>
        <v>45.294828154167121</v>
      </c>
      <c r="Q13" s="205">
        <f>Data!BA11/Q$2*100000</f>
        <v>43.674988207753181</v>
      </c>
      <c r="R13" s="205">
        <f>Data!BB11/R$2*100000</f>
        <v>88.761147977513843</v>
      </c>
      <c r="S13" s="205">
        <f>Data!BC11/S$2*100000</f>
        <v>126.5022137887413</v>
      </c>
      <c r="T13" s="205">
        <f>Data!BD11/T$2*100000</f>
        <v>148.67797155026921</v>
      </c>
      <c r="U13" s="205">
        <f>Data!BE11/U$2*100000</f>
        <v>176.92156477295066</v>
      </c>
      <c r="V13" s="205">
        <f>Data!E11/V$2*100000</f>
        <v>18.835037954096322</v>
      </c>
      <c r="W13" s="182"/>
    </row>
    <row r="14" spans="1:23" ht="12" customHeight="1">
      <c r="A14" s="182"/>
      <c r="B14" s="201" t="str">
        <f>UPPER(LEFT(TRIM(Data!B12),1)) &amp; MID(TRIM(Data!B12),2,50)</f>
        <v>Kepenų</v>
      </c>
      <c r="C14" s="202" t="str">
        <f>Data!C12</f>
        <v>C22</v>
      </c>
      <c r="D14" s="206">
        <f>Data!AN12/D$2*100000</f>
        <v>0</v>
      </c>
      <c r="E14" s="206">
        <f>Data!AO12/E$2*100000</f>
        <v>0</v>
      </c>
      <c r="F14" s="206">
        <f>Data!AP12/F$2*100000</f>
        <v>0</v>
      </c>
      <c r="G14" s="206">
        <f>Data!AQ12/G$2*100000</f>
        <v>0</v>
      </c>
      <c r="H14" s="206">
        <f>Data!AR12/H$2*100000</f>
        <v>0</v>
      </c>
      <c r="I14" s="206">
        <f>Data!AS12/I$2*100000</f>
        <v>0</v>
      </c>
      <c r="J14" s="206">
        <f>Data!AT12/J$2*100000</f>
        <v>2.2141283530206248</v>
      </c>
      <c r="K14" s="206">
        <f>Data!AU12/K$2*100000</f>
        <v>0</v>
      </c>
      <c r="L14" s="206">
        <f>Data!AV12/L$2*100000</f>
        <v>2.0970735338834658</v>
      </c>
      <c r="M14" s="206">
        <f>Data!AW12/M$2*100000</f>
        <v>1.0102132560183454</v>
      </c>
      <c r="N14" s="206">
        <f>Data!AX12/N$2*100000</f>
        <v>14.186275251569947</v>
      </c>
      <c r="O14" s="206">
        <f>Data!AY12/O$2*100000</f>
        <v>10.377642407197934</v>
      </c>
      <c r="P14" s="206">
        <f>Data!AZ12/P$2*100000</f>
        <v>24.706269902272975</v>
      </c>
      <c r="Q14" s="206">
        <f>Data!BA12/Q$2*100000</f>
        <v>43.674988207753181</v>
      </c>
      <c r="R14" s="206">
        <f>Data!BB12/R$2*100000</f>
        <v>29.587049325837945</v>
      </c>
      <c r="S14" s="206">
        <f>Data!BC12/S$2*100000</f>
        <v>50.600885515496522</v>
      </c>
      <c r="T14" s="206">
        <f>Data!BD12/T$2*100000</f>
        <v>40.183235554126817</v>
      </c>
      <c r="U14" s="206">
        <f>Data!BE12/U$2*100000</f>
        <v>52.421204377170568</v>
      </c>
      <c r="V14" s="206">
        <f>Data!E12/V$2*100000</f>
        <v>9.3427767629446041</v>
      </c>
      <c r="W14" s="182"/>
    </row>
    <row r="15" spans="1:23" ht="12" customHeight="1">
      <c r="A15" s="182"/>
      <c r="B15" s="187" t="str">
        <f>UPPER(LEFT(TRIM(Data!B13),1)) &amp; MID(TRIM(Data!B13),2,50)</f>
        <v>Tulžies pūslės, ekstrahepatinių takų</v>
      </c>
      <c r="C15" s="188" t="str">
        <f>Data!C13</f>
        <v>C23, C24</v>
      </c>
      <c r="D15" s="205">
        <f>Data!AN13/D$2*100000</f>
        <v>0</v>
      </c>
      <c r="E15" s="205">
        <f>Data!AO13/E$2*100000</f>
        <v>0</v>
      </c>
      <c r="F15" s="205">
        <f>Data!AP13/F$2*100000</f>
        <v>0</v>
      </c>
      <c r="G15" s="205">
        <f>Data!AQ13/G$2*100000</f>
        <v>0</v>
      </c>
      <c r="H15" s="205">
        <f>Data!AR13/H$2*100000</f>
        <v>0</v>
      </c>
      <c r="I15" s="205">
        <f>Data!AS13/I$2*100000</f>
        <v>0</v>
      </c>
      <c r="J15" s="205">
        <f>Data!AT13/J$2*100000</f>
        <v>0</v>
      </c>
      <c r="K15" s="205">
        <f>Data!AU13/K$2*100000</f>
        <v>1.1473284457141546</v>
      </c>
      <c r="L15" s="205">
        <f>Data!AV13/L$2*100000</f>
        <v>1.0485367669417329</v>
      </c>
      <c r="M15" s="205">
        <f>Data!AW13/M$2*100000</f>
        <v>1.0102132560183454</v>
      </c>
      <c r="N15" s="205">
        <f>Data!AX13/N$2*100000</f>
        <v>1.8915033668759931</v>
      </c>
      <c r="O15" s="205">
        <f>Data!AY13/O$2*100000</f>
        <v>2.0755284814395867</v>
      </c>
      <c r="P15" s="205">
        <f>Data!AZ13/P$2*100000</f>
        <v>2.7451411002525532</v>
      </c>
      <c r="Q15" s="205">
        <f>Data!BA13/Q$2*100000</f>
        <v>10.481997169860765</v>
      </c>
      <c r="R15" s="205">
        <f>Data!BB13/R$2*100000</f>
        <v>12.680163996787693</v>
      </c>
      <c r="S15" s="205">
        <f>Data!BC13/S$2*100000</f>
        <v>5.0600885515496525</v>
      </c>
      <c r="T15" s="205">
        <f>Data!BD13/T$2*100000</f>
        <v>32.146588443301454</v>
      </c>
      <c r="U15" s="205">
        <f>Data!BE13/U$2*100000</f>
        <v>26.210602188585284</v>
      </c>
      <c r="V15" s="205">
        <f>Data!E13/V$2*100000</f>
        <v>2.6159774936244893</v>
      </c>
      <c r="W15" s="182"/>
    </row>
    <row r="16" spans="1:23" ht="12" customHeight="1">
      <c r="A16" s="182"/>
      <c r="B16" s="201" t="str">
        <f>UPPER(LEFT(TRIM(Data!B14),1)) &amp; MID(TRIM(Data!B14),2,50)</f>
        <v>Kasos</v>
      </c>
      <c r="C16" s="202" t="str">
        <f>Data!C14</f>
        <v>C25</v>
      </c>
      <c r="D16" s="206">
        <f>Data!AN14/D$2*100000</f>
        <v>0</v>
      </c>
      <c r="E16" s="206">
        <f>Data!AO14/E$2*100000</f>
        <v>0</v>
      </c>
      <c r="F16" s="206">
        <f>Data!AP14/F$2*100000</f>
        <v>0</v>
      </c>
      <c r="G16" s="206">
        <f>Data!AQ14/G$2*100000</f>
        <v>0</v>
      </c>
      <c r="H16" s="206">
        <f>Data!AR14/H$2*100000</f>
        <v>0</v>
      </c>
      <c r="I16" s="206">
        <f>Data!AS14/I$2*100000</f>
        <v>0</v>
      </c>
      <c r="J16" s="206">
        <f>Data!AT14/J$2*100000</f>
        <v>0</v>
      </c>
      <c r="K16" s="206">
        <f>Data!AU14/K$2*100000</f>
        <v>0</v>
      </c>
      <c r="L16" s="206">
        <f>Data!AV14/L$2*100000</f>
        <v>4.1941470677669317</v>
      </c>
      <c r="M16" s="206">
        <f>Data!AW14/M$2*100000</f>
        <v>8.0817060481467635</v>
      </c>
      <c r="N16" s="206">
        <f>Data!AX14/N$2*100000</f>
        <v>16.07777861844594</v>
      </c>
      <c r="O16" s="206">
        <f>Data!AY14/O$2*100000</f>
        <v>19.717520573676072</v>
      </c>
      <c r="P16" s="206">
        <f>Data!AZ14/P$2*100000</f>
        <v>30.196552102778082</v>
      </c>
      <c r="Q16" s="206">
        <f>Data!BA14/Q$2*100000</f>
        <v>83.855977358886122</v>
      </c>
      <c r="R16" s="206">
        <f>Data!BB14/R$2*100000</f>
        <v>80.307705312988716</v>
      </c>
      <c r="S16" s="206">
        <f>Data!BC14/S$2*100000</f>
        <v>88.551549652118908</v>
      </c>
      <c r="T16" s="206">
        <f>Data!BD14/T$2*100000</f>
        <v>88.403118219079005</v>
      </c>
      <c r="U16" s="206">
        <f>Data!BE14/U$2*100000</f>
        <v>85.184457112902166</v>
      </c>
      <c r="V16" s="206">
        <f>Data!E14/V$2*100000</f>
        <v>16.891740387403843</v>
      </c>
      <c r="W16" s="182"/>
    </row>
    <row r="17" spans="1:23" ht="12" customHeight="1">
      <c r="A17" s="182"/>
      <c r="B17" s="187" t="str">
        <f>UPPER(LEFT(TRIM(Data!B15),1)) &amp; MID(TRIM(Data!B15),2,50)</f>
        <v>Kitų virškinimo sistemos organų</v>
      </c>
      <c r="C17" s="188" t="str">
        <f>Data!C15</f>
        <v>C17, C26, C48</v>
      </c>
      <c r="D17" s="205">
        <f>Data!AN15/D$2*100000</f>
        <v>0</v>
      </c>
      <c r="E17" s="205">
        <f>Data!AO15/E$2*100000</f>
        <v>0</v>
      </c>
      <c r="F17" s="205">
        <f>Data!AP15/F$2*100000</f>
        <v>0</v>
      </c>
      <c r="G17" s="205">
        <f>Data!AQ15/G$2*100000</f>
        <v>0</v>
      </c>
      <c r="H17" s="205">
        <f>Data!AR15/H$2*100000</f>
        <v>0</v>
      </c>
      <c r="I17" s="205">
        <f>Data!AS15/I$2*100000</f>
        <v>0</v>
      </c>
      <c r="J17" s="205">
        <f>Data!AT15/J$2*100000</f>
        <v>0</v>
      </c>
      <c r="K17" s="205">
        <f>Data!AU15/K$2*100000</f>
        <v>1.1473284457141546</v>
      </c>
      <c r="L17" s="205">
        <f>Data!AV15/L$2*100000</f>
        <v>0</v>
      </c>
      <c r="M17" s="205">
        <f>Data!AW15/M$2*100000</f>
        <v>0</v>
      </c>
      <c r="N17" s="205">
        <f>Data!AX15/N$2*100000</f>
        <v>1.8915033668759931</v>
      </c>
      <c r="O17" s="205">
        <f>Data!AY15/O$2*100000</f>
        <v>0</v>
      </c>
      <c r="P17" s="205">
        <f>Data!AZ15/P$2*100000</f>
        <v>2.7451411002525532</v>
      </c>
      <c r="Q17" s="205">
        <f>Data!BA15/Q$2*100000</f>
        <v>12.22899669817089</v>
      </c>
      <c r="R17" s="205">
        <f>Data!BB15/R$2*100000</f>
        <v>2.1133606661312818</v>
      </c>
      <c r="S17" s="205">
        <f>Data!BC15/S$2*100000</f>
        <v>15.180265654648958</v>
      </c>
      <c r="T17" s="205">
        <f>Data!BD15/T$2*100000</f>
        <v>16.073294221650727</v>
      </c>
      <c r="U17" s="205">
        <f>Data!BE15/U$2*100000</f>
        <v>26.210602188585284</v>
      </c>
      <c r="V17" s="205">
        <f>Data!E15/V$2*100000</f>
        <v>2.0180397807960344</v>
      </c>
      <c r="W17" s="182"/>
    </row>
    <row r="18" spans="1:23" ht="12" customHeight="1">
      <c r="A18" s="182"/>
      <c r="B18" s="201" t="str">
        <f>UPPER(LEFT(TRIM(Data!B16),1)) &amp; MID(TRIM(Data!B16),2,50)</f>
        <v>Nosies ertmės, vid.ausies ir ančių</v>
      </c>
      <c r="C18" s="202" t="str">
        <f>Data!C16</f>
        <v>C30, C31</v>
      </c>
      <c r="D18" s="206">
        <f>Data!AN16/D$2*100000</f>
        <v>0</v>
      </c>
      <c r="E18" s="206">
        <f>Data!AO16/E$2*100000</f>
        <v>0</v>
      </c>
      <c r="F18" s="206">
        <f>Data!AP16/F$2*100000</f>
        <v>0</v>
      </c>
      <c r="G18" s="206">
        <f>Data!AQ16/G$2*100000</f>
        <v>0</v>
      </c>
      <c r="H18" s="206">
        <f>Data!AR16/H$2*100000</f>
        <v>0</v>
      </c>
      <c r="I18" s="206">
        <f>Data!AS16/I$2*100000</f>
        <v>0</v>
      </c>
      <c r="J18" s="206">
        <f>Data!AT16/J$2*100000</f>
        <v>0</v>
      </c>
      <c r="K18" s="206">
        <f>Data!AU16/K$2*100000</f>
        <v>0</v>
      </c>
      <c r="L18" s="206">
        <f>Data!AV16/L$2*100000</f>
        <v>1.0485367669417329</v>
      </c>
      <c r="M18" s="206">
        <f>Data!AW16/M$2*100000</f>
        <v>2.0204265120366909</v>
      </c>
      <c r="N18" s="206">
        <f>Data!AX16/N$2*100000</f>
        <v>1.8915033668759931</v>
      </c>
      <c r="O18" s="206">
        <f>Data!AY16/O$2*100000</f>
        <v>0</v>
      </c>
      <c r="P18" s="206">
        <f>Data!AZ16/P$2*100000</f>
        <v>4.1177116503788298</v>
      </c>
      <c r="Q18" s="206">
        <f>Data!BA16/Q$2*100000</f>
        <v>0</v>
      </c>
      <c r="R18" s="206">
        <f>Data!BB16/R$2*100000</f>
        <v>2.1133606661312818</v>
      </c>
      <c r="S18" s="206">
        <f>Data!BC16/S$2*100000</f>
        <v>2.5300442757748263</v>
      </c>
      <c r="T18" s="206">
        <f>Data!BD16/T$2*100000</f>
        <v>0</v>
      </c>
      <c r="U18" s="206">
        <f>Data!BE16/U$2*100000</f>
        <v>6.552650547146321</v>
      </c>
      <c r="V18" s="206">
        <f>Data!E16/V$2*100000</f>
        <v>0.82216435513912511</v>
      </c>
      <c r="W18" s="182"/>
    </row>
    <row r="19" spans="1:23" ht="12" customHeight="1">
      <c r="A19" s="182"/>
      <c r="B19" s="187" t="str">
        <f>UPPER(LEFT(TRIM(Data!B17),1)) &amp; MID(TRIM(Data!B17),2,50)</f>
        <v>Gerklų</v>
      </c>
      <c r="C19" s="188" t="str">
        <f>Data!C17</f>
        <v>C32</v>
      </c>
      <c r="D19" s="205">
        <f>Data!AN17/D$2*100000</f>
        <v>0</v>
      </c>
      <c r="E19" s="205">
        <f>Data!AO17/E$2*100000</f>
        <v>0</v>
      </c>
      <c r="F19" s="205">
        <f>Data!AP17/F$2*100000</f>
        <v>0</v>
      </c>
      <c r="G19" s="205">
        <f>Data!AQ17/G$2*100000</f>
        <v>0</v>
      </c>
      <c r="H19" s="205">
        <f>Data!AR17/H$2*100000</f>
        <v>0</v>
      </c>
      <c r="I19" s="205">
        <f>Data!AS17/I$2*100000</f>
        <v>0</v>
      </c>
      <c r="J19" s="205">
        <f>Data!AT17/J$2*100000</f>
        <v>0</v>
      </c>
      <c r="K19" s="205">
        <f>Data!AU17/K$2*100000</f>
        <v>0</v>
      </c>
      <c r="L19" s="205">
        <f>Data!AV17/L$2*100000</f>
        <v>4.1941470677669317</v>
      </c>
      <c r="M19" s="205">
        <f>Data!AW17/M$2*100000</f>
        <v>4.0408530240733818</v>
      </c>
      <c r="N19" s="205">
        <f>Data!AX17/N$2*100000</f>
        <v>11.349020201255957</v>
      </c>
      <c r="O19" s="205">
        <f>Data!AY17/O$2*100000</f>
        <v>15.5664636107969</v>
      </c>
      <c r="P19" s="205">
        <f>Data!AZ17/P$2*100000</f>
        <v>24.706269902272975</v>
      </c>
      <c r="Q19" s="205">
        <f>Data!BA17/Q$2*100000</f>
        <v>41.927988679443061</v>
      </c>
      <c r="R19" s="205">
        <f>Data!BB17/R$2*100000</f>
        <v>50.720655987150771</v>
      </c>
      <c r="S19" s="205">
        <f>Data!BC17/S$2*100000</f>
        <v>22.770398481973434</v>
      </c>
      <c r="T19" s="205">
        <f>Data!BD17/T$2*100000</f>
        <v>28.128264887888772</v>
      </c>
      <c r="U19" s="205">
        <f>Data!BE17/U$2*100000</f>
        <v>32.763252735731605</v>
      </c>
      <c r="V19" s="205">
        <f>Data!E17/V$2*100000</f>
        <v>9.1185501206339339</v>
      </c>
      <c r="W19" s="182"/>
    </row>
    <row r="20" spans="1:23" ht="12" customHeight="1">
      <c r="A20" s="182"/>
      <c r="B20" s="201" t="str">
        <f>UPPER(LEFT(TRIM(Data!B18),1)) &amp; MID(TRIM(Data!B18),2,50)</f>
        <v>Plaučių, trachėjos, bronchų</v>
      </c>
      <c r="C20" s="202" t="str">
        <f>Data!C18</f>
        <v>C33, C34</v>
      </c>
      <c r="D20" s="206">
        <f>Data!AN18/D$2*100000</f>
        <v>0</v>
      </c>
      <c r="E20" s="206">
        <f>Data!AO18/E$2*100000</f>
        <v>0</v>
      </c>
      <c r="F20" s="206">
        <f>Data!AP18/F$2*100000</f>
        <v>0</v>
      </c>
      <c r="G20" s="206">
        <f>Data!AQ18/G$2*100000</f>
        <v>0</v>
      </c>
      <c r="H20" s="206">
        <f>Data!AR18/H$2*100000</f>
        <v>0</v>
      </c>
      <c r="I20" s="206">
        <f>Data!AS18/I$2*100000</f>
        <v>0</v>
      </c>
      <c r="J20" s="206">
        <f>Data!AT18/J$2*100000</f>
        <v>0</v>
      </c>
      <c r="K20" s="206">
        <f>Data!AU18/K$2*100000</f>
        <v>2.2946568914283092</v>
      </c>
      <c r="L20" s="206">
        <f>Data!AV18/L$2*100000</f>
        <v>11.533904436359062</v>
      </c>
      <c r="M20" s="206">
        <f>Data!AW18/M$2*100000</f>
        <v>19.194051864348566</v>
      </c>
      <c r="N20" s="206">
        <f>Data!AX18/N$2*100000</f>
        <v>63.36536279034577</v>
      </c>
      <c r="O20" s="206">
        <f>Data!AY18/O$2*100000</f>
        <v>138.02264401573251</v>
      </c>
      <c r="P20" s="206">
        <f>Data!AZ18/P$2*100000</f>
        <v>255.29812232348743</v>
      </c>
      <c r="Q20" s="206">
        <f>Data!BA18/Q$2*100000</f>
        <v>298.73691934103181</v>
      </c>
      <c r="R20" s="206">
        <f>Data!BB18/R$2*100000</f>
        <v>418.44541189399382</v>
      </c>
      <c r="S20" s="206">
        <f>Data!BC18/S$2*100000</f>
        <v>382.03668564199876</v>
      </c>
      <c r="T20" s="206">
        <f>Data!BD18/T$2*100000</f>
        <v>429.96062042915696</v>
      </c>
      <c r="U20" s="206">
        <f>Data!BE18/U$2*100000</f>
        <v>360.39578009304768</v>
      </c>
      <c r="V20" s="206">
        <f>Data!E18/V$2*100000</f>
        <v>82.216435513912515</v>
      </c>
      <c r="W20" s="182"/>
    </row>
    <row r="21" spans="1:23" ht="12" customHeight="1">
      <c r="A21" s="182"/>
      <c r="B21" s="187" t="str">
        <f>UPPER(LEFT(TRIM(Data!B19),1)) &amp; MID(TRIM(Data!B19),2,50)</f>
        <v>Kitų kvėpavimo sistemos organų</v>
      </c>
      <c r="C21" s="188" t="str">
        <f>Data!C19</f>
        <v>C37-C39</v>
      </c>
      <c r="D21" s="205">
        <f>Data!AN19/D$2*100000</f>
        <v>0</v>
      </c>
      <c r="E21" s="205">
        <f>Data!AO19/E$2*100000</f>
        <v>0</v>
      </c>
      <c r="F21" s="205">
        <f>Data!AP19/F$2*100000</f>
        <v>0</v>
      </c>
      <c r="G21" s="205">
        <f>Data!AQ19/G$2*100000</f>
        <v>0</v>
      </c>
      <c r="H21" s="205">
        <f>Data!AR19/H$2*100000</f>
        <v>0</v>
      </c>
      <c r="I21" s="205">
        <f>Data!AS19/I$2*100000</f>
        <v>0</v>
      </c>
      <c r="J21" s="205">
        <f>Data!AT19/J$2*100000</f>
        <v>0</v>
      </c>
      <c r="K21" s="205">
        <f>Data!AU19/K$2*100000</f>
        <v>0</v>
      </c>
      <c r="L21" s="205">
        <f>Data!AV19/L$2*100000</f>
        <v>0</v>
      </c>
      <c r="M21" s="205">
        <f>Data!AW19/M$2*100000</f>
        <v>0</v>
      </c>
      <c r="N21" s="205">
        <f>Data!AX19/N$2*100000</f>
        <v>0</v>
      </c>
      <c r="O21" s="205">
        <f>Data!AY19/O$2*100000</f>
        <v>0</v>
      </c>
      <c r="P21" s="205">
        <f>Data!AZ19/P$2*100000</f>
        <v>2.7451411002525532</v>
      </c>
      <c r="Q21" s="205">
        <f>Data!BA19/Q$2*100000</f>
        <v>8.7349976415506365</v>
      </c>
      <c r="R21" s="205">
        <f>Data!BB19/R$2*100000</f>
        <v>4.2267213322625636</v>
      </c>
      <c r="S21" s="205">
        <f>Data!BC19/S$2*100000</f>
        <v>5.0600885515496525</v>
      </c>
      <c r="T21" s="205">
        <f>Data!BD19/T$2*100000</f>
        <v>12.054970666238045</v>
      </c>
      <c r="U21" s="205">
        <f>Data!BE19/U$2*100000</f>
        <v>0</v>
      </c>
      <c r="V21" s="205">
        <f>Data!E19/V$2*100000</f>
        <v>1.0463909974497956</v>
      </c>
      <c r="W21" s="182"/>
    </row>
    <row r="22" spans="1:23" ht="12" customHeight="1">
      <c r="A22" s="182"/>
      <c r="B22" s="201" t="str">
        <f>UPPER(LEFT(TRIM(Data!B20),1)) &amp; MID(TRIM(Data!B20),2,50)</f>
        <v>Kaulų ir jungiamojo audinio</v>
      </c>
      <c r="C22" s="202" t="str">
        <f>Data!C20</f>
        <v>C40-C41, C45-C47, C49</v>
      </c>
      <c r="D22" s="206">
        <f>Data!AN20/D$2*100000</f>
        <v>1.2918060740721602</v>
      </c>
      <c r="E22" s="206">
        <f>Data!AO20/E$2*100000</f>
        <v>0</v>
      </c>
      <c r="F22" s="206">
        <f>Data!AP20/F$2*100000</f>
        <v>1.4525172123289662</v>
      </c>
      <c r="G22" s="206">
        <f>Data!AQ20/G$2*100000</f>
        <v>0</v>
      </c>
      <c r="H22" s="206">
        <f>Data!AR20/H$2*100000</f>
        <v>0</v>
      </c>
      <c r="I22" s="206">
        <f>Data!AS20/I$2*100000</f>
        <v>1.9906241602054324</v>
      </c>
      <c r="J22" s="206">
        <f>Data!AT20/J$2*100000</f>
        <v>2.2141283530206248</v>
      </c>
      <c r="K22" s="206">
        <f>Data!AU20/K$2*100000</f>
        <v>3.4419853371424636</v>
      </c>
      <c r="L22" s="206">
        <f>Data!AV20/L$2*100000</f>
        <v>1.0485367669417329</v>
      </c>
      <c r="M22" s="206">
        <f>Data!AW20/M$2*100000</f>
        <v>2.0204265120366909</v>
      </c>
      <c r="N22" s="206">
        <f>Data!AX20/N$2*100000</f>
        <v>3.7830067337519862</v>
      </c>
      <c r="O22" s="206">
        <f>Data!AY20/O$2*100000</f>
        <v>4.1510569628791734</v>
      </c>
      <c r="P22" s="206">
        <f>Data!AZ20/P$2*100000</f>
        <v>1.3725705501262766</v>
      </c>
      <c r="Q22" s="206">
        <f>Data!BA20/Q$2*100000</f>
        <v>3.4939990566202548</v>
      </c>
      <c r="R22" s="206">
        <f>Data!BB20/R$2*100000</f>
        <v>6.3400819983938463</v>
      </c>
      <c r="S22" s="206">
        <f>Data!BC20/S$2*100000</f>
        <v>7.5901328273244788</v>
      </c>
      <c r="T22" s="206">
        <f>Data!BD20/T$2*100000</f>
        <v>8.0366471108253634</v>
      </c>
      <c r="U22" s="206">
        <f>Data!BE20/U$2*100000</f>
        <v>13.105301094292642</v>
      </c>
      <c r="V22" s="206">
        <f>Data!E20/V$2*100000</f>
        <v>2.4664930654173753</v>
      </c>
      <c r="W22" s="182"/>
    </row>
    <row r="23" spans="1:23" ht="12" customHeight="1">
      <c r="A23" s="182"/>
      <c r="B23" s="187" t="str">
        <f>UPPER(LEFT(TRIM(Data!B21),1)) &amp; MID(TRIM(Data!B21),2,50)</f>
        <v>Odos melanoma</v>
      </c>
      <c r="C23" s="188" t="str">
        <f>Data!C21</f>
        <v>C43</v>
      </c>
      <c r="D23" s="205">
        <f>Data!AN21/D$2*100000</f>
        <v>0</v>
      </c>
      <c r="E23" s="205">
        <f>Data!AO21/E$2*100000</f>
        <v>0</v>
      </c>
      <c r="F23" s="205">
        <f>Data!AP21/F$2*100000</f>
        <v>0</v>
      </c>
      <c r="G23" s="205">
        <f>Data!AQ21/G$2*100000</f>
        <v>0</v>
      </c>
      <c r="H23" s="205">
        <f>Data!AR21/H$2*100000</f>
        <v>0</v>
      </c>
      <c r="I23" s="205">
        <f>Data!AS21/I$2*100000</f>
        <v>0.99531208010271621</v>
      </c>
      <c r="J23" s="205">
        <f>Data!AT21/J$2*100000</f>
        <v>5.5353208825515612</v>
      </c>
      <c r="K23" s="205">
        <f>Data!AU21/K$2*100000</f>
        <v>0</v>
      </c>
      <c r="L23" s="205">
        <f>Data!AV21/L$2*100000</f>
        <v>2.0970735338834658</v>
      </c>
      <c r="M23" s="205">
        <f>Data!AW21/M$2*100000</f>
        <v>1.0102132560183454</v>
      </c>
      <c r="N23" s="205">
        <f>Data!AX21/N$2*100000</f>
        <v>5.6745101006279786</v>
      </c>
      <c r="O23" s="205">
        <f>Data!AY21/O$2*100000</f>
        <v>6.2265854443187587</v>
      </c>
      <c r="P23" s="205">
        <f>Data!AZ21/P$2*100000</f>
        <v>2.7451411002525532</v>
      </c>
      <c r="Q23" s="205">
        <f>Data!BA21/Q$2*100000</f>
        <v>6.9879981132405096</v>
      </c>
      <c r="R23" s="205">
        <f>Data!BB21/R$2*100000</f>
        <v>14.793524662918973</v>
      </c>
      <c r="S23" s="205">
        <f>Data!BC21/S$2*100000</f>
        <v>17.710309930423783</v>
      </c>
      <c r="T23" s="205">
        <f>Data!BD21/T$2*100000</f>
        <v>12.054970666238045</v>
      </c>
      <c r="U23" s="205">
        <f>Data!BE21/U$2*100000</f>
        <v>32.763252735731605</v>
      </c>
      <c r="V23" s="205">
        <f>Data!E21/V$2*100000</f>
        <v>3.6623684910742846</v>
      </c>
      <c r="W23" s="182"/>
    </row>
    <row r="24" spans="1:23" ht="12" customHeight="1">
      <c r="A24" s="182"/>
      <c r="B24" s="201" t="str">
        <f>UPPER(LEFT(TRIM(Data!B22),1)) &amp; MID(TRIM(Data!B22),2,50)</f>
        <v>Kiti odos piktybiniai navikai</v>
      </c>
      <c r="C24" s="202" t="str">
        <f>Data!C22</f>
        <v>C44</v>
      </c>
      <c r="D24" s="206">
        <f>Data!AN22/D$2*100000</f>
        <v>0</v>
      </c>
      <c r="E24" s="206">
        <f>Data!AO22/E$2*100000</f>
        <v>0</v>
      </c>
      <c r="F24" s="206">
        <f>Data!AP22/F$2*100000</f>
        <v>0</v>
      </c>
      <c r="G24" s="206">
        <f>Data!AQ22/G$2*100000</f>
        <v>0</v>
      </c>
      <c r="H24" s="206">
        <f>Data!AR22/H$2*100000</f>
        <v>0</v>
      </c>
      <c r="I24" s="206">
        <f>Data!AS22/I$2*100000</f>
        <v>0</v>
      </c>
      <c r="J24" s="206">
        <f>Data!AT22/J$2*100000</f>
        <v>0</v>
      </c>
      <c r="K24" s="206">
        <f>Data!AU22/K$2*100000</f>
        <v>0</v>
      </c>
      <c r="L24" s="206">
        <f>Data!AV22/L$2*100000</f>
        <v>0</v>
      </c>
      <c r="M24" s="206">
        <f>Data!AW22/M$2*100000</f>
        <v>1.0102132560183454</v>
      </c>
      <c r="N24" s="206">
        <f>Data!AX22/N$2*100000</f>
        <v>0.94575168343799654</v>
      </c>
      <c r="O24" s="206">
        <f>Data!AY22/O$2*100000</f>
        <v>2.0755284814395867</v>
      </c>
      <c r="P24" s="206">
        <f>Data!AZ22/P$2*100000</f>
        <v>2.7451411002525532</v>
      </c>
      <c r="Q24" s="206">
        <f>Data!BA22/Q$2*100000</f>
        <v>1.7469995283101274</v>
      </c>
      <c r="R24" s="206">
        <f>Data!BB22/R$2*100000</f>
        <v>8.4534426645251273</v>
      </c>
      <c r="S24" s="206">
        <f>Data!BC22/S$2*100000</f>
        <v>10.120177103099305</v>
      </c>
      <c r="T24" s="206">
        <f>Data!BD22/T$2*100000</f>
        <v>16.073294221650727</v>
      </c>
      <c r="U24" s="206">
        <f>Data!BE22/U$2*100000</f>
        <v>19.657951641438963</v>
      </c>
      <c r="V24" s="206">
        <f>Data!E22/V$2*100000</f>
        <v>1.6443287102782502</v>
      </c>
      <c r="W24" s="182"/>
    </row>
    <row r="25" spans="1:23" ht="12" customHeight="1">
      <c r="A25" s="182"/>
      <c r="B25" s="187" t="str">
        <f>UPPER(LEFT(TRIM(Data!B23),1)) &amp; MID(TRIM(Data!B23),2,50)</f>
        <v>Krūties</v>
      </c>
      <c r="C25" s="188" t="str">
        <f>Data!C23</f>
        <v>C50</v>
      </c>
      <c r="D25" s="205">
        <f>Data!AN23/D$2*100000</f>
        <v>0</v>
      </c>
      <c r="E25" s="205">
        <f>Data!AO23/E$2*100000</f>
        <v>0</v>
      </c>
      <c r="F25" s="205">
        <f>Data!AP23/F$2*100000</f>
        <v>0</v>
      </c>
      <c r="G25" s="205">
        <f>Data!AQ23/G$2*100000</f>
        <v>0</v>
      </c>
      <c r="H25" s="205">
        <f>Data!AR23/H$2*100000</f>
        <v>0</v>
      </c>
      <c r="I25" s="205">
        <f>Data!AS23/I$2*100000</f>
        <v>0</v>
      </c>
      <c r="J25" s="205">
        <f>Data!AT23/J$2*100000</f>
        <v>0</v>
      </c>
      <c r="K25" s="205">
        <f>Data!AU23/K$2*100000</f>
        <v>0</v>
      </c>
      <c r="L25" s="205">
        <f>Data!AV23/L$2*100000</f>
        <v>0</v>
      </c>
      <c r="M25" s="205">
        <f>Data!AW23/M$2*100000</f>
        <v>0</v>
      </c>
      <c r="N25" s="205">
        <f>Data!AX23/N$2*100000</f>
        <v>0</v>
      </c>
      <c r="O25" s="205">
        <f>Data!AY23/O$2*100000</f>
        <v>1.0377642407197933</v>
      </c>
      <c r="P25" s="205">
        <f>Data!AZ23/P$2*100000</f>
        <v>1.3725705501262766</v>
      </c>
      <c r="Q25" s="205">
        <f>Data!BA23/Q$2*100000</f>
        <v>3.4939990566202548</v>
      </c>
      <c r="R25" s="205">
        <f>Data!BB23/R$2*100000</f>
        <v>0</v>
      </c>
      <c r="S25" s="205">
        <f>Data!BC23/S$2*100000</f>
        <v>2.5300442757748263</v>
      </c>
      <c r="T25" s="205">
        <f>Data!BD23/T$2*100000</f>
        <v>0</v>
      </c>
      <c r="U25" s="205">
        <f>Data!BE23/U$2*100000</f>
        <v>0</v>
      </c>
      <c r="V25" s="205">
        <f>Data!E23/V$2*100000</f>
        <v>0.37371107051778418</v>
      </c>
      <c r="W25" s="182"/>
    </row>
    <row r="26" spans="1:23" ht="12" customHeight="1">
      <c r="A26" s="182"/>
      <c r="B26" s="201" t="str">
        <f>UPPER(LEFT(TRIM(Data!B28),1)) &amp; MID(TRIM(Data!B28),2,50)</f>
        <v>Priešinės liaukos</v>
      </c>
      <c r="C26" s="202" t="str">
        <f>Data!C28</f>
        <v>C61</v>
      </c>
      <c r="D26" s="206">
        <f>Data!AN28/D$2*100000</f>
        <v>0</v>
      </c>
      <c r="E26" s="206">
        <f>Data!AO28/E$2*100000</f>
        <v>0</v>
      </c>
      <c r="F26" s="206">
        <f>Data!AP28/F$2*100000</f>
        <v>0</v>
      </c>
      <c r="G26" s="206">
        <f>Data!AQ28/G$2*100000</f>
        <v>0</v>
      </c>
      <c r="H26" s="206">
        <f>Data!AR28/H$2*100000</f>
        <v>0</v>
      </c>
      <c r="I26" s="206">
        <f>Data!AS28/I$2*100000</f>
        <v>0</v>
      </c>
      <c r="J26" s="206">
        <f>Data!AT28/J$2*100000</f>
        <v>0</v>
      </c>
      <c r="K26" s="206">
        <f>Data!AU28/K$2*100000</f>
        <v>0</v>
      </c>
      <c r="L26" s="206">
        <f>Data!AV28/L$2*100000</f>
        <v>0</v>
      </c>
      <c r="M26" s="206">
        <f>Data!AW28/M$2*100000</f>
        <v>2.0204265120366909</v>
      </c>
      <c r="N26" s="206">
        <f>Data!AX28/N$2*100000</f>
        <v>4.728758417189983</v>
      </c>
      <c r="O26" s="206">
        <f>Data!AY28/O$2*100000</f>
        <v>12.453170888637517</v>
      </c>
      <c r="P26" s="206">
        <f>Data!AZ28/P$2*100000</f>
        <v>38.431975403535745</v>
      </c>
      <c r="Q26" s="206">
        <f>Data!BA28/Q$2*100000</f>
        <v>99.578973113677264</v>
      </c>
      <c r="R26" s="206">
        <f>Data!BB28/R$2*100000</f>
        <v>204.99598461473437</v>
      </c>
      <c r="S26" s="206">
        <f>Data!BC28/S$2*100000</f>
        <v>316.25553447185325</v>
      </c>
      <c r="T26" s="206">
        <f>Data!BD28/T$2*100000</f>
        <v>466.12553242787112</v>
      </c>
      <c r="U26" s="206">
        <f>Data!BE28/U$2*100000</f>
        <v>668.37035580892473</v>
      </c>
      <c r="V26" s="206">
        <f>Data!E28/V$2*100000</f>
        <v>40.659764472334913</v>
      </c>
      <c r="W26" s="182"/>
    </row>
    <row r="27" spans="1:23" ht="12" customHeight="1">
      <c r="A27" s="182"/>
      <c r="B27" s="187" t="str">
        <f>UPPER(LEFT(TRIM(Data!B29),1)) &amp; MID(TRIM(Data!B29),2,50)</f>
        <v>Sėklidžių</v>
      </c>
      <c r="C27" s="188" t="str">
        <f>Data!C29</f>
        <v>C62</v>
      </c>
      <c r="D27" s="205">
        <f>Data!AN29/D$2*100000</f>
        <v>0</v>
      </c>
      <c r="E27" s="205">
        <f>Data!AO29/E$2*100000</f>
        <v>0</v>
      </c>
      <c r="F27" s="205">
        <f>Data!AP29/F$2*100000</f>
        <v>0</v>
      </c>
      <c r="G27" s="205">
        <f>Data!AQ29/G$2*100000</f>
        <v>0</v>
      </c>
      <c r="H27" s="205">
        <f>Data!AR29/H$2*100000</f>
        <v>2.8998115122517039</v>
      </c>
      <c r="I27" s="205">
        <f>Data!AS29/I$2*100000</f>
        <v>0</v>
      </c>
      <c r="J27" s="205">
        <f>Data!AT29/J$2*100000</f>
        <v>0</v>
      </c>
      <c r="K27" s="205">
        <f>Data!AU29/K$2*100000</f>
        <v>1.1473284457141546</v>
      </c>
      <c r="L27" s="205">
        <f>Data!AV29/L$2*100000</f>
        <v>0</v>
      </c>
      <c r="M27" s="205">
        <f>Data!AW29/M$2*100000</f>
        <v>1.0102132560183454</v>
      </c>
      <c r="N27" s="205">
        <f>Data!AX29/N$2*100000</f>
        <v>0</v>
      </c>
      <c r="O27" s="205">
        <f>Data!AY29/O$2*100000</f>
        <v>0</v>
      </c>
      <c r="P27" s="205">
        <f>Data!AZ29/P$2*100000</f>
        <v>1.3725705501262766</v>
      </c>
      <c r="Q27" s="205">
        <f>Data!BA29/Q$2*100000</f>
        <v>0</v>
      </c>
      <c r="R27" s="205">
        <f>Data!BB29/R$2*100000</f>
        <v>0</v>
      </c>
      <c r="S27" s="205">
        <f>Data!BC29/S$2*100000</f>
        <v>0</v>
      </c>
      <c r="T27" s="205">
        <f>Data!BD29/T$2*100000</f>
        <v>0</v>
      </c>
      <c r="U27" s="205">
        <f>Data!BE29/U$2*100000</f>
        <v>0</v>
      </c>
      <c r="V27" s="205">
        <f>Data!E29/V$2*100000</f>
        <v>0.44845328462134099</v>
      </c>
      <c r="W27" s="182"/>
    </row>
    <row r="28" spans="1:23" ht="12" customHeight="1">
      <c r="A28" s="182"/>
      <c r="B28" s="201" t="str">
        <f>UPPER(LEFT(TRIM(Data!B30),1)) &amp; MID(TRIM(Data!B30),2,50)</f>
        <v>Kitų lyties organų</v>
      </c>
      <c r="C28" s="202" t="s">
        <v>417</v>
      </c>
      <c r="D28" s="206">
        <f>Data!AN30/D$2*100000</f>
        <v>0</v>
      </c>
      <c r="E28" s="206">
        <f>Data!AO30/E$2*100000</f>
        <v>0</v>
      </c>
      <c r="F28" s="206">
        <f>Data!AP30/F$2*100000</f>
        <v>0</v>
      </c>
      <c r="G28" s="206">
        <f>Data!AQ30/G$2*100000</f>
        <v>0</v>
      </c>
      <c r="H28" s="206">
        <f>Data!AR30/H$2*100000</f>
        <v>0</v>
      </c>
      <c r="I28" s="206">
        <f>Data!AS30/I$2*100000</f>
        <v>0</v>
      </c>
      <c r="J28" s="206">
        <f>Data!AT30/J$2*100000</f>
        <v>0</v>
      </c>
      <c r="K28" s="206">
        <f>Data!AU30/K$2*100000</f>
        <v>0</v>
      </c>
      <c r="L28" s="206">
        <f>Data!AV30/L$2*100000</f>
        <v>0</v>
      </c>
      <c r="M28" s="206">
        <f>Data!AW30/M$2*100000</f>
        <v>0</v>
      </c>
      <c r="N28" s="206">
        <f>Data!AX30/N$2*100000</f>
        <v>0</v>
      </c>
      <c r="O28" s="206">
        <f>Data!AY30/O$2*100000</f>
        <v>0</v>
      </c>
      <c r="P28" s="206">
        <f>Data!AZ30/P$2*100000</f>
        <v>4.1177116503788298</v>
      </c>
      <c r="Q28" s="206">
        <f>Data!BA30/Q$2*100000</f>
        <v>3.4939990566202548</v>
      </c>
      <c r="R28" s="206">
        <f>Data!BB30/R$2*100000</f>
        <v>4.2267213322625636</v>
      </c>
      <c r="S28" s="206">
        <f>Data!BC30/S$2*100000</f>
        <v>0</v>
      </c>
      <c r="T28" s="206">
        <f>Data!BD30/T$2*100000</f>
        <v>8.0366471108253634</v>
      </c>
      <c r="U28" s="206">
        <f>Data!BE30/U$2*100000</f>
        <v>0</v>
      </c>
      <c r="V28" s="206">
        <f>Data!E30/V$2*100000</f>
        <v>0.67267992693201151</v>
      </c>
      <c r="W28" s="182"/>
    </row>
    <row r="29" spans="1:23" ht="12" customHeight="1">
      <c r="A29" s="182"/>
      <c r="B29" s="187" t="str">
        <f>UPPER(LEFT(TRIM(Data!B31),1)) &amp; MID(TRIM(Data!B31),2,50)</f>
        <v>Inkstų</v>
      </c>
      <c r="C29" s="188" t="str">
        <f>Data!C31</f>
        <v>C64</v>
      </c>
      <c r="D29" s="205">
        <f>Data!AN31/D$2*100000</f>
        <v>0</v>
      </c>
      <c r="E29" s="205">
        <f>Data!AO31/E$2*100000</f>
        <v>0</v>
      </c>
      <c r="F29" s="205">
        <f>Data!AP31/F$2*100000</f>
        <v>0</v>
      </c>
      <c r="G29" s="205">
        <f>Data!AQ31/G$2*100000</f>
        <v>1.1703024061417471</v>
      </c>
      <c r="H29" s="205">
        <f>Data!AR31/H$2*100000</f>
        <v>0</v>
      </c>
      <c r="I29" s="205">
        <f>Data!AS31/I$2*100000</f>
        <v>0</v>
      </c>
      <c r="J29" s="205">
        <f>Data!AT31/J$2*100000</f>
        <v>0</v>
      </c>
      <c r="K29" s="205">
        <f>Data!AU31/K$2*100000</f>
        <v>1.1473284457141546</v>
      </c>
      <c r="L29" s="205">
        <f>Data!AV31/L$2*100000</f>
        <v>0</v>
      </c>
      <c r="M29" s="205">
        <f>Data!AW31/M$2*100000</f>
        <v>4.0408530240733818</v>
      </c>
      <c r="N29" s="205">
        <f>Data!AX31/N$2*100000</f>
        <v>16.07777861844594</v>
      </c>
      <c r="O29" s="205">
        <f>Data!AY31/O$2*100000</f>
        <v>14.528699370077106</v>
      </c>
      <c r="P29" s="205">
        <f>Data!AZ31/P$2*100000</f>
        <v>41.177116503788298</v>
      </c>
      <c r="Q29" s="205">
        <f>Data!BA31/Q$2*100000</f>
        <v>57.650984434234203</v>
      </c>
      <c r="R29" s="205">
        <f>Data!BB31/R$2*100000</f>
        <v>40.153852656494358</v>
      </c>
      <c r="S29" s="205">
        <f>Data!BC31/S$2*100000</f>
        <v>80.961416824794441</v>
      </c>
      <c r="T29" s="205">
        <f>Data!BD31/T$2*100000</f>
        <v>68.3115004420156</v>
      </c>
      <c r="U29" s="205">
        <f>Data!BE31/U$2*100000</f>
        <v>98.289758207194808</v>
      </c>
      <c r="V29" s="205">
        <f>Data!E31/V$2*100000</f>
        <v>13.677825180950901</v>
      </c>
      <c r="W29" s="182"/>
    </row>
    <row r="30" spans="1:23" ht="12" customHeight="1">
      <c r="A30" s="182"/>
      <c r="B30" s="201" t="str">
        <f>UPPER(LEFT(TRIM(Data!B32),1)) &amp; MID(TRIM(Data!B32),2,50)</f>
        <v>Šlapimo pūslės</v>
      </c>
      <c r="C30" s="202" t="str">
        <f>Data!C32</f>
        <v>C67</v>
      </c>
      <c r="D30" s="206">
        <f>Data!AN32/D$2*100000</f>
        <v>0</v>
      </c>
      <c r="E30" s="206">
        <f>Data!AO32/E$2*100000</f>
        <v>0</v>
      </c>
      <c r="F30" s="206">
        <f>Data!AP32/F$2*100000</f>
        <v>0</v>
      </c>
      <c r="G30" s="206">
        <f>Data!AQ32/G$2*100000</f>
        <v>0</v>
      </c>
      <c r="H30" s="206">
        <f>Data!AR32/H$2*100000</f>
        <v>0</v>
      </c>
      <c r="I30" s="206">
        <f>Data!AS32/I$2*100000</f>
        <v>0</v>
      </c>
      <c r="J30" s="206">
        <f>Data!AT32/J$2*100000</f>
        <v>0</v>
      </c>
      <c r="K30" s="206">
        <f>Data!AU32/K$2*100000</f>
        <v>1.1473284457141546</v>
      </c>
      <c r="L30" s="206">
        <f>Data!AV32/L$2*100000</f>
        <v>1.0485367669417329</v>
      </c>
      <c r="M30" s="206">
        <f>Data!AW32/M$2*100000</f>
        <v>1.0102132560183454</v>
      </c>
      <c r="N30" s="206">
        <f>Data!AX32/N$2*100000</f>
        <v>3.7830067337519862</v>
      </c>
      <c r="O30" s="206">
        <f>Data!AY32/O$2*100000</f>
        <v>11.415406647917726</v>
      </c>
      <c r="P30" s="206">
        <f>Data!AZ32/P$2*100000</f>
        <v>20.588558251894149</v>
      </c>
      <c r="Q30" s="206">
        <f>Data!BA32/Q$2*100000</f>
        <v>36.686990094512673</v>
      </c>
      <c r="R30" s="206">
        <f>Data!BB32/R$2*100000</f>
        <v>44.380573988756922</v>
      </c>
      <c r="S30" s="206">
        <f>Data!BC32/S$2*100000</f>
        <v>101.20177103099304</v>
      </c>
      <c r="T30" s="206">
        <f>Data!BD32/T$2*100000</f>
        <v>156.71461866109459</v>
      </c>
      <c r="U30" s="206">
        <f>Data!BE32/U$2*100000</f>
        <v>176.92156477295066</v>
      </c>
      <c r="V30" s="206">
        <f>Data!E32/V$2*100000</f>
        <v>13.528340752743786</v>
      </c>
      <c r="W30" s="182"/>
    </row>
    <row r="31" spans="1:23" ht="12" customHeight="1">
      <c r="A31" s="182"/>
      <c r="B31" s="187" t="str">
        <f>UPPER(LEFT(TRIM(Data!B33),1)) &amp; MID(TRIM(Data!B33),2,50)</f>
        <v>Kitų šlapimą išskiriančių organų</v>
      </c>
      <c r="C31" s="188" t="str">
        <f>Data!C33</f>
        <v>C65, C66, C68</v>
      </c>
      <c r="D31" s="205">
        <f>Data!AN33/D$2*100000</f>
        <v>0</v>
      </c>
      <c r="E31" s="205">
        <f>Data!AO33/E$2*100000</f>
        <v>0</v>
      </c>
      <c r="F31" s="205">
        <f>Data!AP33/F$2*100000</f>
        <v>0</v>
      </c>
      <c r="G31" s="205">
        <f>Data!AQ33/G$2*100000</f>
        <v>0</v>
      </c>
      <c r="H31" s="205">
        <f>Data!AR33/H$2*100000</f>
        <v>0</v>
      </c>
      <c r="I31" s="205">
        <f>Data!AS33/I$2*100000</f>
        <v>0</v>
      </c>
      <c r="J31" s="205">
        <f>Data!AT33/J$2*100000</f>
        <v>0</v>
      </c>
      <c r="K31" s="205">
        <f>Data!AU33/K$2*100000</f>
        <v>0</v>
      </c>
      <c r="L31" s="205">
        <f>Data!AV33/L$2*100000</f>
        <v>0</v>
      </c>
      <c r="M31" s="205">
        <f>Data!AW33/M$2*100000</f>
        <v>0</v>
      </c>
      <c r="N31" s="205">
        <f>Data!AX33/N$2*100000</f>
        <v>1.8915033668759931</v>
      </c>
      <c r="O31" s="205">
        <f>Data!AY33/O$2*100000</f>
        <v>0</v>
      </c>
      <c r="P31" s="205">
        <f>Data!AZ33/P$2*100000</f>
        <v>1.3725705501262766</v>
      </c>
      <c r="Q31" s="205">
        <f>Data!BA33/Q$2*100000</f>
        <v>5.2409985849303826</v>
      </c>
      <c r="R31" s="205">
        <f>Data!BB33/R$2*100000</f>
        <v>4.2267213322625636</v>
      </c>
      <c r="S31" s="205">
        <f>Data!BC33/S$2*100000</f>
        <v>7.5901328273244788</v>
      </c>
      <c r="T31" s="205">
        <f>Data!BD33/T$2*100000</f>
        <v>8.0366471108253634</v>
      </c>
      <c r="U31" s="205">
        <f>Data!BE33/U$2*100000</f>
        <v>6.552650547146321</v>
      </c>
      <c r="V31" s="205">
        <f>Data!E33/V$2*100000</f>
        <v>1.0463909974497956</v>
      </c>
      <c r="W31" s="182"/>
    </row>
    <row r="32" spans="1:23" ht="12" customHeight="1">
      <c r="A32" s="182"/>
      <c r="B32" s="201" t="str">
        <f>UPPER(LEFT(TRIM(Data!B34),1)) &amp; MID(TRIM(Data!B34),2,50)</f>
        <v>Akių</v>
      </c>
      <c r="C32" s="202" t="str">
        <f>Data!C34</f>
        <v>C69</v>
      </c>
      <c r="D32" s="206">
        <f>Data!AN34/D$2*100000</f>
        <v>0</v>
      </c>
      <c r="E32" s="206">
        <f>Data!AO34/E$2*100000</f>
        <v>0</v>
      </c>
      <c r="F32" s="206">
        <f>Data!AP34/F$2*100000</f>
        <v>0</v>
      </c>
      <c r="G32" s="206">
        <f>Data!AQ34/G$2*100000</f>
        <v>0</v>
      </c>
      <c r="H32" s="206">
        <f>Data!AR34/H$2*100000</f>
        <v>0</v>
      </c>
      <c r="I32" s="206">
        <f>Data!AS34/I$2*100000</f>
        <v>0</v>
      </c>
      <c r="J32" s="206">
        <f>Data!AT34/J$2*100000</f>
        <v>0</v>
      </c>
      <c r="K32" s="206">
        <f>Data!AU34/K$2*100000</f>
        <v>1.1473284457141546</v>
      </c>
      <c r="L32" s="206">
        <f>Data!AV34/L$2*100000</f>
        <v>0</v>
      </c>
      <c r="M32" s="206">
        <f>Data!AW34/M$2*100000</f>
        <v>0</v>
      </c>
      <c r="N32" s="206">
        <f>Data!AX34/N$2*100000</f>
        <v>0</v>
      </c>
      <c r="O32" s="206">
        <f>Data!AY34/O$2*100000</f>
        <v>0</v>
      </c>
      <c r="P32" s="206">
        <f>Data!AZ34/P$2*100000</f>
        <v>0</v>
      </c>
      <c r="Q32" s="206">
        <f>Data!BA34/Q$2*100000</f>
        <v>0</v>
      </c>
      <c r="R32" s="206">
        <f>Data!BB34/R$2*100000</f>
        <v>2.1133606661312818</v>
      </c>
      <c r="S32" s="206">
        <f>Data!BC34/S$2*100000</f>
        <v>2.5300442757748263</v>
      </c>
      <c r="T32" s="206">
        <f>Data!BD34/T$2*100000</f>
        <v>0</v>
      </c>
      <c r="U32" s="206">
        <f>Data!BE34/U$2*100000</f>
        <v>0</v>
      </c>
      <c r="V32" s="206">
        <f>Data!E34/V$2*100000</f>
        <v>0.22422664231067049</v>
      </c>
      <c r="W32" s="182"/>
    </row>
    <row r="33" spans="1:23" ht="12" customHeight="1">
      <c r="A33" s="182"/>
      <c r="B33" s="187" t="str">
        <f>UPPER(LEFT(TRIM(Data!B35),1)) &amp; MID(TRIM(Data!B35),2,50)</f>
        <v>Smegenų</v>
      </c>
      <c r="C33" s="188" t="str">
        <f>Data!C35</f>
        <v>C70-C72</v>
      </c>
      <c r="D33" s="205">
        <f>Data!AN35/D$2*100000</f>
        <v>1.2918060740721602</v>
      </c>
      <c r="E33" s="205">
        <f>Data!AO35/E$2*100000</f>
        <v>0</v>
      </c>
      <c r="F33" s="205">
        <f>Data!AP35/F$2*100000</f>
        <v>2.9050344246579325</v>
      </c>
      <c r="G33" s="205">
        <f>Data!AQ35/G$2*100000</f>
        <v>1.1703024061417471</v>
      </c>
      <c r="H33" s="205">
        <f>Data!AR35/H$2*100000</f>
        <v>0.96660383741723443</v>
      </c>
      <c r="I33" s="205">
        <f>Data!AS35/I$2*100000</f>
        <v>2.9859362403081486</v>
      </c>
      <c r="J33" s="205">
        <f>Data!AT35/J$2*100000</f>
        <v>1.1070641765103124</v>
      </c>
      <c r="K33" s="205">
        <f>Data!AU35/K$2*100000</f>
        <v>6.8839706742849271</v>
      </c>
      <c r="L33" s="205">
        <f>Data!AV35/L$2*100000</f>
        <v>4.1941470677669317</v>
      </c>
      <c r="M33" s="205">
        <f>Data!AW35/M$2*100000</f>
        <v>7.0714927921284181</v>
      </c>
      <c r="N33" s="205">
        <f>Data!AX35/N$2*100000</f>
        <v>10.403268517817962</v>
      </c>
      <c r="O33" s="205">
        <f>Data!AY35/O$2*100000</f>
        <v>15.5664636107969</v>
      </c>
      <c r="P33" s="205">
        <f>Data!AZ35/P$2*100000</f>
        <v>19.215987701767872</v>
      </c>
      <c r="Q33" s="205">
        <f>Data!BA35/Q$2*100000</f>
        <v>27.951992452962038</v>
      </c>
      <c r="R33" s="205">
        <f>Data!BB35/R$2*100000</f>
        <v>25.360327993575385</v>
      </c>
      <c r="S33" s="205">
        <f>Data!BC35/S$2*100000</f>
        <v>17.710309930423783</v>
      </c>
      <c r="T33" s="205">
        <f>Data!BD35/T$2*100000</f>
        <v>28.128264887888772</v>
      </c>
      <c r="U33" s="205">
        <f>Data!BE35/U$2*100000</f>
        <v>13.105301094292642</v>
      </c>
      <c r="V33" s="205">
        <f>Data!E35/V$2*100000</f>
        <v>8.2216435513912511</v>
      </c>
      <c r="W33" s="182"/>
    </row>
    <row r="34" spans="1:23" ht="12" customHeight="1">
      <c r="A34" s="182"/>
      <c r="B34" s="201" t="str">
        <f>UPPER(LEFT(TRIM(Data!B36),1)) &amp; MID(TRIM(Data!B36),2,50)</f>
        <v>Skydliaukės</v>
      </c>
      <c r="C34" s="202" t="str">
        <f>Data!C36</f>
        <v>C73</v>
      </c>
      <c r="D34" s="206">
        <f>Data!AN36/D$2*100000</f>
        <v>0</v>
      </c>
      <c r="E34" s="206">
        <f>Data!AO36/E$2*100000</f>
        <v>0</v>
      </c>
      <c r="F34" s="206">
        <f>Data!AP36/F$2*100000</f>
        <v>0</v>
      </c>
      <c r="G34" s="206">
        <f>Data!AQ36/G$2*100000</f>
        <v>0</v>
      </c>
      <c r="H34" s="206">
        <f>Data!AR36/H$2*100000</f>
        <v>0</v>
      </c>
      <c r="I34" s="206">
        <f>Data!AS36/I$2*100000</f>
        <v>0</v>
      </c>
      <c r="J34" s="206">
        <f>Data!AT36/J$2*100000</f>
        <v>0</v>
      </c>
      <c r="K34" s="206">
        <f>Data!AU36/K$2*100000</f>
        <v>0</v>
      </c>
      <c r="L34" s="206">
        <f>Data!AV36/L$2*100000</f>
        <v>0</v>
      </c>
      <c r="M34" s="206">
        <f>Data!AW36/M$2*100000</f>
        <v>0</v>
      </c>
      <c r="N34" s="206">
        <f>Data!AX36/N$2*100000</f>
        <v>1.8915033668759931</v>
      </c>
      <c r="O34" s="206">
        <f>Data!AY36/O$2*100000</f>
        <v>1.0377642407197933</v>
      </c>
      <c r="P34" s="206">
        <f>Data!AZ36/P$2*100000</f>
        <v>2.7451411002525532</v>
      </c>
      <c r="Q34" s="206">
        <f>Data!BA36/Q$2*100000</f>
        <v>0</v>
      </c>
      <c r="R34" s="206">
        <f>Data!BB36/R$2*100000</f>
        <v>4.2267213322625636</v>
      </c>
      <c r="S34" s="206">
        <f>Data!BC36/S$2*100000</f>
        <v>7.5901328273244788</v>
      </c>
      <c r="T34" s="206">
        <f>Data!BD36/T$2*100000</f>
        <v>0</v>
      </c>
      <c r="U34" s="206">
        <f>Data!BE36/U$2*100000</f>
        <v>6.552650547146321</v>
      </c>
      <c r="V34" s="206">
        <f>Data!E36/V$2*100000</f>
        <v>0.82216435513912511</v>
      </c>
      <c r="W34" s="182"/>
    </row>
    <row r="35" spans="1:23" ht="12" customHeight="1">
      <c r="A35" s="182"/>
      <c r="B35" s="187" t="str">
        <f>UPPER(LEFT(TRIM(Data!B37),1)) &amp; MID(TRIM(Data!B37),2,50)</f>
        <v>Kitų endokrininių liaukų</v>
      </c>
      <c r="C35" s="188" t="str">
        <f>Data!C37</f>
        <v>C74-C75</v>
      </c>
      <c r="D35" s="205">
        <f>Data!AN37/D$2*100000</f>
        <v>1.2918060740721602</v>
      </c>
      <c r="E35" s="205">
        <f>Data!AO37/E$2*100000</f>
        <v>0</v>
      </c>
      <c r="F35" s="205">
        <f>Data!AP37/F$2*100000</f>
        <v>0</v>
      </c>
      <c r="G35" s="205">
        <f>Data!AQ37/G$2*100000</f>
        <v>0</v>
      </c>
      <c r="H35" s="205">
        <f>Data!AR37/H$2*100000</f>
        <v>0</v>
      </c>
      <c r="I35" s="205">
        <f>Data!AS37/I$2*100000</f>
        <v>0</v>
      </c>
      <c r="J35" s="205">
        <f>Data!AT37/J$2*100000</f>
        <v>0</v>
      </c>
      <c r="K35" s="205">
        <f>Data!AU37/K$2*100000</f>
        <v>0</v>
      </c>
      <c r="L35" s="205">
        <f>Data!AV37/L$2*100000</f>
        <v>0</v>
      </c>
      <c r="M35" s="205">
        <f>Data!AW37/M$2*100000</f>
        <v>0</v>
      </c>
      <c r="N35" s="205">
        <f>Data!AX37/N$2*100000</f>
        <v>0.94575168343799654</v>
      </c>
      <c r="O35" s="205">
        <f>Data!AY37/O$2*100000</f>
        <v>1.0377642407197933</v>
      </c>
      <c r="P35" s="205">
        <f>Data!AZ37/P$2*100000</f>
        <v>0</v>
      </c>
      <c r="Q35" s="205">
        <f>Data!BA37/Q$2*100000</f>
        <v>3.4939990566202548</v>
      </c>
      <c r="R35" s="205">
        <f>Data!BB37/R$2*100000</f>
        <v>4.2267213322625636</v>
      </c>
      <c r="S35" s="205">
        <f>Data!BC37/S$2*100000</f>
        <v>7.5901328273244788</v>
      </c>
      <c r="T35" s="205">
        <f>Data!BD37/T$2*100000</f>
        <v>0</v>
      </c>
      <c r="U35" s="205">
        <f>Data!BE37/U$2*100000</f>
        <v>13.105301094292642</v>
      </c>
      <c r="V35" s="205">
        <f>Data!E37/V$2*100000</f>
        <v>0.89690656924268197</v>
      </c>
      <c r="W35" s="182"/>
    </row>
    <row r="36" spans="1:23" ht="12" customHeight="1">
      <c r="A36" s="182"/>
      <c r="B36" s="201" t="str">
        <f>UPPER(LEFT(TRIM(Data!B38),1)) &amp; MID(TRIM(Data!B38),2,50)</f>
        <v>Nepatikslintos lokalizacijos</v>
      </c>
      <c r="C36" s="202" t="str">
        <f>Data!C38</f>
        <v>C76-C80</v>
      </c>
      <c r="D36" s="206">
        <f>Data!AN38/D$2*100000</f>
        <v>0</v>
      </c>
      <c r="E36" s="206">
        <f>Data!AO38/E$2*100000</f>
        <v>0</v>
      </c>
      <c r="F36" s="206">
        <f>Data!AP38/F$2*100000</f>
        <v>0</v>
      </c>
      <c r="G36" s="206">
        <f>Data!AQ38/G$2*100000</f>
        <v>0</v>
      </c>
      <c r="H36" s="206">
        <f>Data!AR38/H$2*100000</f>
        <v>0</v>
      </c>
      <c r="I36" s="206">
        <f>Data!AS38/I$2*100000</f>
        <v>0</v>
      </c>
      <c r="J36" s="206">
        <f>Data!AT38/J$2*100000</f>
        <v>0</v>
      </c>
      <c r="K36" s="206">
        <f>Data!AU38/K$2*100000</f>
        <v>1.1473284457141546</v>
      </c>
      <c r="L36" s="206">
        <f>Data!AV38/L$2*100000</f>
        <v>1.0485367669417329</v>
      </c>
      <c r="M36" s="206">
        <f>Data!AW38/M$2*100000</f>
        <v>0</v>
      </c>
      <c r="N36" s="206">
        <f>Data!AX38/N$2*100000</f>
        <v>8.5117651509419687</v>
      </c>
      <c r="O36" s="206">
        <f>Data!AY38/O$2*100000</f>
        <v>34.246219943753175</v>
      </c>
      <c r="P36" s="206">
        <f>Data!AZ38/P$2*100000</f>
        <v>37.059404853409461</v>
      </c>
      <c r="Q36" s="206">
        <f>Data!BA38/Q$2*100000</f>
        <v>61.144983490854457</v>
      </c>
      <c r="R36" s="206">
        <f>Data!BB38/R$2*100000</f>
        <v>71.854262648463589</v>
      </c>
      <c r="S36" s="206">
        <f>Data!BC38/S$2*100000</f>
        <v>75.901328273244786</v>
      </c>
      <c r="T36" s="206">
        <f>Data!BD38/T$2*100000</f>
        <v>84.384794663666312</v>
      </c>
      <c r="U36" s="206">
        <f>Data!BE38/U$2*100000</f>
        <v>104.84240875434114</v>
      </c>
      <c r="V36" s="206">
        <f>Data!E38/V$2*100000</f>
        <v>15.471638319436263</v>
      </c>
      <c r="W36" s="182"/>
    </row>
    <row r="37" spans="1:23" ht="12" customHeight="1">
      <c r="A37" s="182"/>
      <c r="B37" s="187" t="str">
        <f>UPPER(LEFT(TRIM(Data!B39),1)) &amp; MID(TRIM(Data!B39),2,50)</f>
        <v>Hodžkino limfomos</v>
      </c>
      <c r="C37" s="188" t="str">
        <f>Data!C39</f>
        <v>C81</v>
      </c>
      <c r="D37" s="205">
        <f>Data!AN39/D$2*100000</f>
        <v>0</v>
      </c>
      <c r="E37" s="205">
        <f>Data!AO39/E$2*100000</f>
        <v>0</v>
      </c>
      <c r="F37" s="205">
        <f>Data!AP39/F$2*100000</f>
        <v>0</v>
      </c>
      <c r="G37" s="205">
        <f>Data!AQ39/G$2*100000</f>
        <v>0</v>
      </c>
      <c r="H37" s="205">
        <f>Data!AR39/H$2*100000</f>
        <v>0</v>
      </c>
      <c r="I37" s="205">
        <f>Data!AS39/I$2*100000</f>
        <v>0</v>
      </c>
      <c r="J37" s="205">
        <f>Data!AT39/J$2*100000</f>
        <v>0</v>
      </c>
      <c r="K37" s="205">
        <f>Data!AU39/K$2*100000</f>
        <v>0</v>
      </c>
      <c r="L37" s="205">
        <f>Data!AV39/L$2*100000</f>
        <v>2.0970735338834658</v>
      </c>
      <c r="M37" s="205">
        <f>Data!AW39/M$2*100000</f>
        <v>0</v>
      </c>
      <c r="N37" s="205">
        <f>Data!AX39/N$2*100000</f>
        <v>0</v>
      </c>
      <c r="O37" s="205">
        <f>Data!AY39/O$2*100000</f>
        <v>1.0377642407197933</v>
      </c>
      <c r="P37" s="205">
        <f>Data!AZ39/P$2*100000</f>
        <v>0</v>
      </c>
      <c r="Q37" s="205">
        <f>Data!BA39/Q$2*100000</f>
        <v>1.7469995283101274</v>
      </c>
      <c r="R37" s="205">
        <f>Data!BB39/R$2*100000</f>
        <v>2.1133606661312818</v>
      </c>
      <c r="S37" s="205">
        <f>Data!BC39/S$2*100000</f>
        <v>0</v>
      </c>
      <c r="T37" s="205">
        <f>Data!BD39/T$2*100000</f>
        <v>8.0366471108253634</v>
      </c>
      <c r="U37" s="205">
        <f>Data!BE39/U$2*100000</f>
        <v>13.105301094292642</v>
      </c>
      <c r="V37" s="205">
        <f>Data!E39/V$2*100000</f>
        <v>0.67267992693201151</v>
      </c>
      <c r="W37" s="182"/>
    </row>
    <row r="38" spans="1:23" ht="12" customHeight="1">
      <c r="A38" s="182"/>
      <c r="B38" s="201" t="str">
        <f>UPPER(LEFT(TRIM(Data!B40),1)) &amp; MID(TRIM(Data!B40),2,50)</f>
        <v>Ne Hodžkino limfomos</v>
      </c>
      <c r="C38" s="202" t="str">
        <f>Data!C40</f>
        <v>C82-C85</v>
      </c>
      <c r="D38" s="206">
        <f>Data!AN40/D$2*100000</f>
        <v>0</v>
      </c>
      <c r="E38" s="206">
        <f>Data!AO40/E$2*100000</f>
        <v>0</v>
      </c>
      <c r="F38" s="206">
        <f>Data!AP40/F$2*100000</f>
        <v>0</v>
      </c>
      <c r="G38" s="206">
        <f>Data!AQ40/G$2*100000</f>
        <v>0</v>
      </c>
      <c r="H38" s="206">
        <f>Data!AR40/H$2*100000</f>
        <v>0</v>
      </c>
      <c r="I38" s="206">
        <f>Data!AS40/I$2*100000</f>
        <v>0</v>
      </c>
      <c r="J38" s="206">
        <f>Data!AT40/J$2*100000</f>
        <v>1.1070641765103124</v>
      </c>
      <c r="K38" s="206">
        <f>Data!AU40/K$2*100000</f>
        <v>3.4419853371424636</v>
      </c>
      <c r="L38" s="206">
        <f>Data!AV40/L$2*100000</f>
        <v>0</v>
      </c>
      <c r="M38" s="206">
        <f>Data!AW40/M$2*100000</f>
        <v>0</v>
      </c>
      <c r="N38" s="206">
        <f>Data!AX40/N$2*100000</f>
        <v>4.728758417189983</v>
      </c>
      <c r="O38" s="206">
        <f>Data!AY40/O$2*100000</f>
        <v>5.1888212035989669</v>
      </c>
      <c r="P38" s="206">
        <f>Data!AZ40/P$2*100000</f>
        <v>13.725705501262764</v>
      </c>
      <c r="Q38" s="206">
        <f>Data!BA40/Q$2*100000</f>
        <v>24.457993396341781</v>
      </c>
      <c r="R38" s="206">
        <f>Data!BB40/R$2*100000</f>
        <v>19.020245995181536</v>
      </c>
      <c r="S38" s="206">
        <f>Data!BC40/S$2*100000</f>
        <v>15.180265654648958</v>
      </c>
      <c r="T38" s="206">
        <f>Data!BD40/T$2*100000</f>
        <v>52.238206220364866</v>
      </c>
      <c r="U38" s="206">
        <f>Data!BE40/U$2*100000</f>
        <v>52.421204377170568</v>
      </c>
      <c r="V38" s="206">
        <f>Data!E40/V$2*100000</f>
        <v>5.5309238436632056</v>
      </c>
      <c r="W38" s="182"/>
    </row>
    <row r="39" spans="1:23" ht="12" customHeight="1">
      <c r="A39" s="182"/>
      <c r="B39" s="187" t="str">
        <f>UPPER(LEFT(TRIM(Data!B41),1)) &amp; MID(TRIM(Data!B41),2,50)</f>
        <v>Mielominės ligos</v>
      </c>
      <c r="C39" s="188" t="str">
        <f>Data!C41</f>
        <v>C90</v>
      </c>
      <c r="D39" s="205">
        <f>Data!AN41/D$2*100000</f>
        <v>0</v>
      </c>
      <c r="E39" s="205">
        <f>Data!AO41/E$2*100000</f>
        <v>0</v>
      </c>
      <c r="F39" s="205">
        <f>Data!AP41/F$2*100000</f>
        <v>0</v>
      </c>
      <c r="G39" s="205">
        <f>Data!AQ41/G$2*100000</f>
        <v>0</v>
      </c>
      <c r="H39" s="205">
        <f>Data!AR41/H$2*100000</f>
        <v>0</v>
      </c>
      <c r="I39" s="205">
        <f>Data!AS41/I$2*100000</f>
        <v>0</v>
      </c>
      <c r="J39" s="205">
        <f>Data!AT41/J$2*100000</f>
        <v>0</v>
      </c>
      <c r="K39" s="205">
        <f>Data!AU41/K$2*100000</f>
        <v>0</v>
      </c>
      <c r="L39" s="205">
        <f>Data!AV41/L$2*100000</f>
        <v>0</v>
      </c>
      <c r="M39" s="205">
        <f>Data!AW41/M$2*100000</f>
        <v>1.0102132560183454</v>
      </c>
      <c r="N39" s="205">
        <f>Data!AX41/N$2*100000</f>
        <v>1.8915033668759931</v>
      </c>
      <c r="O39" s="205">
        <f>Data!AY41/O$2*100000</f>
        <v>4.1510569628791734</v>
      </c>
      <c r="P39" s="205">
        <f>Data!AZ41/P$2*100000</f>
        <v>2.7451411002525532</v>
      </c>
      <c r="Q39" s="205">
        <f>Data!BA41/Q$2*100000</f>
        <v>10.481997169860765</v>
      </c>
      <c r="R39" s="205">
        <f>Data!BB41/R$2*100000</f>
        <v>21.133606661312818</v>
      </c>
      <c r="S39" s="205">
        <f>Data!BC41/S$2*100000</f>
        <v>17.710309930423783</v>
      </c>
      <c r="T39" s="205">
        <f>Data!BD41/T$2*100000</f>
        <v>28.128264887888772</v>
      </c>
      <c r="U39" s="205">
        <f>Data!BE41/U$2*100000</f>
        <v>45.868553830024247</v>
      </c>
      <c r="V39" s="205">
        <f>Data!E41/V$2*100000</f>
        <v>3.438141848763614</v>
      </c>
      <c r="W39" s="182"/>
    </row>
    <row r="40" spans="1:23" ht="12" customHeight="1">
      <c r="A40" s="182"/>
      <c r="B40" s="201" t="str">
        <f>UPPER(LEFT(TRIM(Data!B42),1)) &amp; MID(TRIM(Data!B42),2,50)</f>
        <v>Leukemijos</v>
      </c>
      <c r="C40" s="202" t="str">
        <f>Data!C42</f>
        <v>C91-C95</v>
      </c>
      <c r="D40" s="206">
        <f>Data!AN42/D$2*100000</f>
        <v>2.5836121481443204</v>
      </c>
      <c r="E40" s="206">
        <f>Data!AO42/E$2*100000</f>
        <v>0</v>
      </c>
      <c r="F40" s="206">
        <f>Data!AP42/F$2*100000</f>
        <v>0</v>
      </c>
      <c r="G40" s="206">
        <f>Data!AQ42/G$2*100000</f>
        <v>0</v>
      </c>
      <c r="H40" s="206">
        <f>Data!AR42/H$2*100000</f>
        <v>0</v>
      </c>
      <c r="I40" s="206">
        <f>Data!AS42/I$2*100000</f>
        <v>0</v>
      </c>
      <c r="J40" s="206">
        <f>Data!AT42/J$2*100000</f>
        <v>1.1070641765103124</v>
      </c>
      <c r="K40" s="206">
        <f>Data!AU42/K$2*100000</f>
        <v>2.2946568914283092</v>
      </c>
      <c r="L40" s="206">
        <f>Data!AV42/L$2*100000</f>
        <v>1.0485367669417329</v>
      </c>
      <c r="M40" s="206">
        <f>Data!AW42/M$2*100000</f>
        <v>0</v>
      </c>
      <c r="N40" s="206">
        <f>Data!AX42/N$2*100000</f>
        <v>5.6745101006279786</v>
      </c>
      <c r="O40" s="206">
        <f>Data!AY42/O$2*100000</f>
        <v>10.377642407197934</v>
      </c>
      <c r="P40" s="206">
        <f>Data!AZ42/P$2*100000</f>
        <v>17.843417151641596</v>
      </c>
      <c r="Q40" s="206">
        <f>Data!BA42/Q$2*100000</f>
        <v>20.96399433972153</v>
      </c>
      <c r="R40" s="206">
        <f>Data!BB42/R$2*100000</f>
        <v>46.4939346548882</v>
      </c>
      <c r="S40" s="206">
        <f>Data!BC42/S$2*100000</f>
        <v>65.781151170145478</v>
      </c>
      <c r="T40" s="206">
        <f>Data!BD42/T$2*100000</f>
        <v>88.403118219079005</v>
      </c>
      <c r="U40" s="206">
        <f>Data!BE42/U$2*100000</f>
        <v>111.39505930148745</v>
      </c>
      <c r="V40" s="206">
        <f>Data!E42/V$2*100000</f>
        <v>10.015456689876617</v>
      </c>
      <c r="W40" s="182"/>
    </row>
    <row r="41" spans="1:23" ht="12" customHeight="1">
      <c r="A41" s="182"/>
      <c r="B41" s="187" t="str">
        <f>UPPER(LEFT(TRIM(Data!B43),1)) &amp; MID(TRIM(Data!B43),2,50)</f>
        <v>Kiti limfinio, kraujodaros audinių</v>
      </c>
      <c r="C41" s="188" t="str">
        <f>Data!C43</f>
        <v>C88, C96</v>
      </c>
      <c r="D41" s="205">
        <f>Data!AN43/D$2*100000</f>
        <v>0</v>
      </c>
      <c r="E41" s="205">
        <f>Data!AO43/E$2*100000</f>
        <v>0</v>
      </c>
      <c r="F41" s="205">
        <f>Data!AP43/F$2*100000</f>
        <v>0</v>
      </c>
      <c r="G41" s="205">
        <f>Data!AQ43/G$2*100000</f>
        <v>0</v>
      </c>
      <c r="H41" s="205">
        <f>Data!AR43/H$2*100000</f>
        <v>0</v>
      </c>
      <c r="I41" s="205">
        <f>Data!AS43/I$2*100000</f>
        <v>0</v>
      </c>
      <c r="J41" s="205">
        <f>Data!AT43/J$2*100000</f>
        <v>0</v>
      </c>
      <c r="K41" s="205">
        <f>Data!AU43/K$2*100000</f>
        <v>0</v>
      </c>
      <c r="L41" s="205">
        <f>Data!AV43/L$2*100000</f>
        <v>0</v>
      </c>
      <c r="M41" s="205">
        <f>Data!AW43/M$2*100000</f>
        <v>0</v>
      </c>
      <c r="N41" s="205">
        <f>Data!AX43/N$2*100000</f>
        <v>0</v>
      </c>
      <c r="O41" s="205">
        <f>Data!AY43/O$2*100000</f>
        <v>0</v>
      </c>
      <c r="P41" s="205">
        <f>Data!AZ43/P$2*100000</f>
        <v>0</v>
      </c>
      <c r="Q41" s="205">
        <f>Data!BA43/Q$2*100000</f>
        <v>1.7469995283101274</v>
      </c>
      <c r="R41" s="205">
        <f>Data!BB43/R$2*100000</f>
        <v>0</v>
      </c>
      <c r="S41" s="205">
        <f>Data!BC43/S$2*100000</f>
        <v>2.5300442757748263</v>
      </c>
      <c r="T41" s="205">
        <f>Data!BD43/T$2*100000</f>
        <v>0</v>
      </c>
      <c r="U41" s="205">
        <f>Data!BE43/U$2*100000</f>
        <v>6.552650547146321</v>
      </c>
      <c r="V41" s="205">
        <f>Data!E43/V$2*100000</f>
        <v>0.22422664231067049</v>
      </c>
      <c r="W41" s="182"/>
    </row>
    <row r="42" spans="1:23" ht="24" customHeight="1">
      <c r="A42" s="182"/>
      <c r="B42" s="189"/>
      <c r="C42" s="190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82"/>
    </row>
    <row r="43" spans="1:23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</row>
    <row r="44" spans="1:23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</row>
    <row r="45" spans="1:23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</row>
  </sheetData>
  <mergeCells count="4">
    <mergeCell ref="B5:B6"/>
    <mergeCell ref="C5:C6"/>
    <mergeCell ref="D5:U5"/>
    <mergeCell ref="V5:V6"/>
  </mergeCells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5"/>
  </sheetPr>
  <dimension ref="A1:AE55"/>
  <sheetViews>
    <sheetView zoomScaleNormal="100" workbookViewId="0">
      <selection activeCell="Q2" sqref="Q2"/>
    </sheetView>
  </sheetViews>
  <sheetFormatPr defaultRowHeight="11.25"/>
  <cols>
    <col min="1" max="1" width="1.7109375" style="183" customWidth="1"/>
    <col min="2" max="2" width="28.7109375" style="183" customWidth="1"/>
    <col min="3" max="3" width="23.7109375" style="183" customWidth="1"/>
    <col min="4" max="19" width="6" style="183" customWidth="1"/>
    <col min="20" max="22" width="6.28515625" style="183" customWidth="1"/>
    <col min="23" max="30" width="0.85546875" style="183" customWidth="1"/>
    <col min="31" max="16384" width="9.140625" style="183"/>
  </cols>
  <sheetData>
    <row r="1" spans="1:31" ht="15">
      <c r="A1" s="192"/>
      <c r="B1" s="434" t="s">
        <v>405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192"/>
    </row>
    <row r="2" spans="1:31" ht="12.75" customHeight="1">
      <c r="A2" s="192"/>
      <c r="B2" s="434"/>
      <c r="C2" s="471"/>
      <c r="D2" s="436">
        <f>Lent02m!S4</f>
        <v>73573</v>
      </c>
      <c r="E2" s="436">
        <f>Lent02m!T4</f>
        <v>68112</v>
      </c>
      <c r="F2" s="436">
        <f>Lent02m!U4</f>
        <v>65394</v>
      </c>
      <c r="G2" s="436">
        <f>Lent02m!V4</f>
        <v>80822</v>
      </c>
      <c r="H2" s="436">
        <f>Lent02m!W4</f>
        <v>98060</v>
      </c>
      <c r="I2" s="436">
        <f>Lent02m!X4</f>
        <v>95144</v>
      </c>
      <c r="J2" s="436">
        <f>Lent02m!Y4</f>
        <v>87782</v>
      </c>
      <c r="K2" s="436">
        <f>Lent02m!Z4</f>
        <v>89193</v>
      </c>
      <c r="L2" s="436">
        <f>Lent02m!AA4</f>
        <v>102361</v>
      </c>
      <c r="M2" s="436">
        <f>Lent02m!AB4</f>
        <v>108831</v>
      </c>
      <c r="N2" s="436">
        <f>Lent02m!AC4</f>
        <v>119456</v>
      </c>
      <c r="O2" s="436">
        <f>Lent02m!AD4</f>
        <v>116878</v>
      </c>
      <c r="P2" s="436">
        <f>Lent02m!AE4</f>
        <v>97783</v>
      </c>
      <c r="Q2" s="436">
        <f>Lent02m!AF4</f>
        <v>88018</v>
      </c>
      <c r="R2" s="436">
        <f>Lent02m!AG4</f>
        <v>84213</v>
      </c>
      <c r="S2" s="436">
        <f>Lent02m!AH4</f>
        <v>81014</v>
      </c>
      <c r="T2" s="436">
        <f>Lent02m!AI4</f>
        <v>61046</v>
      </c>
      <c r="U2" s="436">
        <f>Lent02m!AJ4</f>
        <v>49298</v>
      </c>
      <c r="V2" s="436">
        <f>SUM(D2:U2)</f>
        <v>1566978</v>
      </c>
      <c r="W2" s="192"/>
    </row>
    <row r="3" spans="1:31" ht="12.75" customHeight="1">
      <c r="A3" s="192"/>
      <c r="B3" s="472" t="str">
        <f>"Mirčių dėl piktybinių navikų atvejų skaičius 100 000 gyventojų, pagal amžiaus grupes  " &amp; GrafikaiSerg!A1 &amp; " metais. Moterys."</f>
        <v>Mirčių dėl piktybinių navikų atvejų skaičius 100 000 gyventojų, pagal amžiaus grupes  2015 metais. Moterys.</v>
      </c>
      <c r="C3" s="472"/>
      <c r="D3" s="435"/>
      <c r="E3" s="435"/>
      <c r="F3" s="435"/>
      <c r="G3" s="435"/>
      <c r="H3" s="435"/>
      <c r="I3" s="435"/>
      <c r="J3" s="435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</row>
    <row r="4" spans="1:31" ht="12.75" customHeight="1">
      <c r="A4" s="192"/>
      <c r="B4" s="562" t="s">
        <v>626</v>
      </c>
      <c r="C4" s="562"/>
      <c r="D4" s="562"/>
      <c r="E4" s="562"/>
      <c r="F4" s="562"/>
      <c r="G4" s="562"/>
      <c r="H4" s="562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2"/>
    </row>
    <row r="5" spans="1:31" ht="12" customHeight="1">
      <c r="A5" s="192"/>
      <c r="B5" s="536" t="s">
        <v>243</v>
      </c>
      <c r="C5" s="536" t="s">
        <v>244</v>
      </c>
      <c r="D5" s="538" t="s">
        <v>419</v>
      </c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40"/>
      <c r="V5" s="541" t="s">
        <v>427</v>
      </c>
      <c r="W5" s="192"/>
    </row>
    <row r="6" spans="1:31" ht="12" customHeight="1" thickBot="1">
      <c r="A6" s="192"/>
      <c r="B6" s="537"/>
      <c r="C6" s="537"/>
      <c r="D6" s="199" t="s">
        <v>13</v>
      </c>
      <c r="E6" s="199" t="s">
        <v>11</v>
      </c>
      <c r="F6" s="199" t="s">
        <v>12</v>
      </c>
      <c r="G6" s="199" t="s">
        <v>14</v>
      </c>
      <c r="H6" s="199" t="s">
        <v>15</v>
      </c>
      <c r="I6" s="199" t="s">
        <v>16</v>
      </c>
      <c r="J6" s="199" t="s">
        <v>158</v>
      </c>
      <c r="K6" s="199" t="s">
        <v>17</v>
      </c>
      <c r="L6" s="199" t="s">
        <v>18</v>
      </c>
      <c r="M6" s="199" t="s">
        <v>19</v>
      </c>
      <c r="N6" s="199" t="s">
        <v>20</v>
      </c>
      <c r="O6" s="199" t="s">
        <v>21</v>
      </c>
      <c r="P6" s="199" t="s">
        <v>159</v>
      </c>
      <c r="Q6" s="199" t="s">
        <v>160</v>
      </c>
      <c r="R6" s="199" t="s">
        <v>161</v>
      </c>
      <c r="S6" s="199" t="s">
        <v>162</v>
      </c>
      <c r="T6" s="199" t="s">
        <v>22</v>
      </c>
      <c r="U6" s="199" t="s">
        <v>23</v>
      </c>
      <c r="V6" s="542"/>
      <c r="W6" s="192"/>
      <c r="AE6" s="183" t="s">
        <v>625</v>
      </c>
    </row>
    <row r="7" spans="1:31" ht="12" customHeight="1" thickTop="1">
      <c r="A7" s="192"/>
      <c r="B7" s="187" t="str">
        <f>UPPER(LEFT(TRIM(Data!B5),1)) &amp; MID(TRIM(Data!B5),2,50)</f>
        <v>Piktybiniai navikai</v>
      </c>
      <c r="C7" s="188" t="str">
        <f>Data!C5</f>
        <v>C00-C96</v>
      </c>
      <c r="D7" s="209">
        <f>Data!DA5/D$2*100000</f>
        <v>2.7183885392739184</v>
      </c>
      <c r="E7" s="209">
        <f>Data!DB5/E$2*100000</f>
        <v>2.9363401456424714</v>
      </c>
      <c r="F7" s="209">
        <f>Data!DC5/F$2*100000</f>
        <v>1.5291922806373675</v>
      </c>
      <c r="G7" s="209">
        <f>Data!DD5/G$2*100000</f>
        <v>3.7118606320061369</v>
      </c>
      <c r="H7" s="209">
        <f>Data!DE5/H$2*100000</f>
        <v>1.0197838058331634</v>
      </c>
      <c r="I7" s="209">
        <f>Data!DF5/I$2*100000</f>
        <v>4.2041537038594132</v>
      </c>
      <c r="J7" s="209">
        <f>Data!DG5/J$2*100000</f>
        <v>18.22697136087125</v>
      </c>
      <c r="K7" s="209">
        <f>Data!DH5/K$2*100000</f>
        <v>33.634926507685584</v>
      </c>
      <c r="L7" s="209">
        <f>Data!DI5/L$2*100000</f>
        <v>76.200896825939566</v>
      </c>
      <c r="M7" s="209">
        <f>Data!DJ5/M$2*100000</f>
        <v>101.99299831849382</v>
      </c>
      <c r="N7" s="209">
        <f>Data!DK5/N$2*100000</f>
        <v>166.58853469059738</v>
      </c>
      <c r="O7" s="209">
        <f>Data!DL5/O$2*100000</f>
        <v>226.7321480518147</v>
      </c>
      <c r="P7" s="209">
        <f>Data!DM5/P$2*100000</f>
        <v>351.7993925324443</v>
      </c>
      <c r="Q7" s="209">
        <f>Data!DN5/Q$2*100000</f>
        <v>482.85577949964784</v>
      </c>
      <c r="R7" s="209">
        <f>Data!DO5/R$2*100000</f>
        <v>549.79634973222664</v>
      </c>
      <c r="S7" s="209">
        <f>Data!DP5/S$2*100000</f>
        <v>718.39435159355173</v>
      </c>
      <c r="T7" s="209">
        <f>Data!DQ5/T$2*100000</f>
        <v>1043.4754119844051</v>
      </c>
      <c r="U7" s="209">
        <f>Data!DR5/U$2*100000</f>
        <v>1093.3506430281147</v>
      </c>
      <c r="V7" s="209">
        <f>Data!BR5/V$2*100000</f>
        <v>236.25092375259894</v>
      </c>
      <c r="W7" s="192"/>
      <c r="AE7" s="183" t="s">
        <v>625</v>
      </c>
    </row>
    <row r="8" spans="1:31" ht="12" customHeight="1">
      <c r="A8" s="192"/>
      <c r="B8" s="201" t="str">
        <f>UPPER(LEFT(TRIM(Data!B6),1)) &amp; MID(TRIM(Data!B6),2,50)</f>
        <v>Lūpos</v>
      </c>
      <c r="C8" s="202" t="str">
        <f>Data!C6</f>
        <v>C00</v>
      </c>
      <c r="D8" s="207">
        <f>Data!DA6/D$2*100000</f>
        <v>0</v>
      </c>
      <c r="E8" s="207">
        <f>Data!DB6/E$2*100000</f>
        <v>0</v>
      </c>
      <c r="F8" s="207">
        <f>Data!DC6/F$2*100000</f>
        <v>0</v>
      </c>
      <c r="G8" s="207">
        <f>Data!DD6/G$2*100000</f>
        <v>0</v>
      </c>
      <c r="H8" s="207">
        <f>Data!DE6/H$2*100000</f>
        <v>0</v>
      </c>
      <c r="I8" s="207">
        <f>Data!DF6/I$2*100000</f>
        <v>0</v>
      </c>
      <c r="J8" s="207">
        <f>Data!DG6/J$2*100000</f>
        <v>0</v>
      </c>
      <c r="K8" s="207">
        <f>Data!DH6/K$2*100000</f>
        <v>0</v>
      </c>
      <c r="L8" s="207">
        <f>Data!DI6/L$2*100000</f>
        <v>0</v>
      </c>
      <c r="M8" s="207">
        <f>Data!DJ6/M$2*100000</f>
        <v>0</v>
      </c>
      <c r="N8" s="207">
        <f>Data!DK6/N$2*100000</f>
        <v>0</v>
      </c>
      <c r="O8" s="207">
        <f>Data!DL6/O$2*100000</f>
        <v>0</v>
      </c>
      <c r="P8" s="207">
        <f>Data!DM6/P$2*100000</f>
        <v>0</v>
      </c>
      <c r="Q8" s="207">
        <f>Data!DN6/Q$2*100000</f>
        <v>0</v>
      </c>
      <c r="R8" s="207">
        <f>Data!DO6/R$2*100000</f>
        <v>0</v>
      </c>
      <c r="S8" s="207">
        <f>Data!DP6/S$2*100000</f>
        <v>0</v>
      </c>
      <c r="T8" s="207">
        <f>Data!DQ6/T$2*100000</f>
        <v>0</v>
      </c>
      <c r="U8" s="207">
        <f>Data!DR6/U$2*100000</f>
        <v>4.056959714390036</v>
      </c>
      <c r="V8" s="207">
        <f>Data!BR6/V$2*100000</f>
        <v>0.12763421056326252</v>
      </c>
      <c r="W8" s="192"/>
    </row>
    <row r="9" spans="1:31" ht="12" customHeight="1">
      <c r="A9" s="192"/>
      <c r="B9" s="187" t="str">
        <f>UPPER(LEFT(TRIM(Data!B7),1)) &amp; MID(TRIM(Data!B7),2,50)</f>
        <v>Burnos ertmės ir ryklės</v>
      </c>
      <c r="C9" s="188" t="str">
        <f>Data!C7</f>
        <v>C01-C14</v>
      </c>
      <c r="D9" s="209">
        <f>Data!DA7/D$2*100000</f>
        <v>0</v>
      </c>
      <c r="E9" s="209">
        <f>Data!DB7/E$2*100000</f>
        <v>0</v>
      </c>
      <c r="F9" s="209">
        <f>Data!DC7/F$2*100000</f>
        <v>0</v>
      </c>
      <c r="G9" s="209">
        <f>Data!DD7/G$2*100000</f>
        <v>0</v>
      </c>
      <c r="H9" s="209">
        <f>Data!DE7/H$2*100000</f>
        <v>0</v>
      </c>
      <c r="I9" s="209">
        <f>Data!DF7/I$2*100000</f>
        <v>0</v>
      </c>
      <c r="J9" s="209">
        <f>Data!DG7/J$2*100000</f>
        <v>0</v>
      </c>
      <c r="K9" s="209">
        <f>Data!DH7/K$2*100000</f>
        <v>0</v>
      </c>
      <c r="L9" s="209">
        <f>Data!DI7/L$2*100000</f>
        <v>2.9308037240745985</v>
      </c>
      <c r="M9" s="209">
        <f>Data!DJ7/M$2*100000</f>
        <v>2.7565675221214545</v>
      </c>
      <c r="N9" s="209">
        <f>Data!DK7/N$2*100000</f>
        <v>7.5341548352531484</v>
      </c>
      <c r="O9" s="209">
        <f>Data!DL7/O$2*100000</f>
        <v>5.133558069097691</v>
      </c>
      <c r="P9" s="209">
        <f>Data!DM7/P$2*100000</f>
        <v>5.1133632635529693</v>
      </c>
      <c r="Q9" s="209">
        <f>Data!DN7/Q$2*100000</f>
        <v>11.361312458815243</v>
      </c>
      <c r="R9" s="209">
        <f>Data!DO7/R$2*100000</f>
        <v>7.124790709272915</v>
      </c>
      <c r="S9" s="209">
        <f>Data!DP7/S$2*100000</f>
        <v>4.9374182240106652</v>
      </c>
      <c r="T9" s="209">
        <f>Data!DQ7/T$2*100000</f>
        <v>3.2762179340169713</v>
      </c>
      <c r="U9" s="209">
        <f>Data!DR7/U$2*100000</f>
        <v>20.28479857195018</v>
      </c>
      <c r="V9" s="209">
        <f>Data!BR7/V$2*100000</f>
        <v>3.7013921063346138</v>
      </c>
      <c r="W9" s="192"/>
    </row>
    <row r="10" spans="1:31" ht="12" customHeight="1">
      <c r="A10" s="192"/>
      <c r="B10" s="201" t="str">
        <f>UPPER(LEFT(TRIM(Data!B8),1)) &amp; MID(TRIM(Data!B8),2,50)</f>
        <v>Stemplės</v>
      </c>
      <c r="C10" s="202" t="str">
        <f>Data!C8</f>
        <v>C15</v>
      </c>
      <c r="D10" s="207">
        <f>Data!DA8/D$2*100000</f>
        <v>0</v>
      </c>
      <c r="E10" s="207">
        <f>Data!DB8/E$2*100000</f>
        <v>0</v>
      </c>
      <c r="F10" s="207">
        <f>Data!DC8/F$2*100000</f>
        <v>0</v>
      </c>
      <c r="G10" s="207">
        <f>Data!DD8/G$2*100000</f>
        <v>0</v>
      </c>
      <c r="H10" s="207">
        <f>Data!DE8/H$2*100000</f>
        <v>0</v>
      </c>
      <c r="I10" s="207">
        <f>Data!DF8/I$2*100000</f>
        <v>0</v>
      </c>
      <c r="J10" s="207">
        <f>Data!DG8/J$2*100000</f>
        <v>0</v>
      </c>
      <c r="K10" s="207">
        <f>Data!DH8/K$2*100000</f>
        <v>0</v>
      </c>
      <c r="L10" s="207">
        <f>Data!DI8/L$2*100000</f>
        <v>0.976934574691533</v>
      </c>
      <c r="M10" s="207">
        <f>Data!DJ8/M$2*100000</f>
        <v>0</v>
      </c>
      <c r="N10" s="207">
        <f>Data!DK8/N$2*100000</f>
        <v>1.6742566300562551</v>
      </c>
      <c r="O10" s="207">
        <f>Data!DL8/O$2*100000</f>
        <v>5.133558069097691</v>
      </c>
      <c r="P10" s="207">
        <f>Data!DM8/P$2*100000</f>
        <v>3.0680179581317817</v>
      </c>
      <c r="Q10" s="207">
        <f>Data!DN8/Q$2*100000</f>
        <v>3.4083937376445732</v>
      </c>
      <c r="R10" s="207">
        <f>Data!DO8/R$2*100000</f>
        <v>4.74986047284861</v>
      </c>
      <c r="S10" s="207">
        <f>Data!DP8/S$2*100000</f>
        <v>1.2343545560026663</v>
      </c>
      <c r="T10" s="207">
        <f>Data!DQ8/T$2*100000</f>
        <v>8.1905448350424273</v>
      </c>
      <c r="U10" s="207">
        <f>Data!DR8/U$2*100000</f>
        <v>12.170879143170108</v>
      </c>
      <c r="V10" s="207">
        <f>Data!BR8/V$2*100000</f>
        <v>1.9783302637305691</v>
      </c>
      <c r="W10" s="192"/>
    </row>
    <row r="11" spans="1:31" ht="12" customHeight="1">
      <c r="A11" s="192"/>
      <c r="B11" s="187" t="str">
        <f>UPPER(LEFT(TRIM(Data!B9),1)) &amp; MID(TRIM(Data!B9),2,50)</f>
        <v>Skrandžio</v>
      </c>
      <c r="C11" s="188" t="str">
        <f>Data!C9</f>
        <v>C16</v>
      </c>
      <c r="D11" s="209">
        <f>Data!DA9/D$2*100000</f>
        <v>0</v>
      </c>
      <c r="E11" s="209">
        <f>Data!DB9/E$2*100000</f>
        <v>0</v>
      </c>
      <c r="F11" s="209">
        <f>Data!DC9/F$2*100000</f>
        <v>0</v>
      </c>
      <c r="G11" s="209">
        <f>Data!DD9/G$2*100000</f>
        <v>0</v>
      </c>
      <c r="H11" s="209">
        <f>Data!DE9/H$2*100000</f>
        <v>0</v>
      </c>
      <c r="I11" s="209">
        <f>Data!DF9/I$2*100000</f>
        <v>0</v>
      </c>
      <c r="J11" s="209">
        <f>Data!DG9/J$2*100000</f>
        <v>3.4175571301633596</v>
      </c>
      <c r="K11" s="209">
        <f>Data!DH9/K$2*100000</f>
        <v>5.6058210846142629</v>
      </c>
      <c r="L11" s="209">
        <f>Data!DI9/L$2*100000</f>
        <v>4.8846728734576645</v>
      </c>
      <c r="M11" s="209">
        <f>Data!DJ9/M$2*100000</f>
        <v>7.3508467256572114</v>
      </c>
      <c r="N11" s="209">
        <f>Data!DK9/N$2*100000</f>
        <v>12.556924725421913</v>
      </c>
      <c r="O11" s="209">
        <f>Data!DL9/O$2*100000</f>
        <v>15.400674207293074</v>
      </c>
      <c r="P11" s="209">
        <f>Data!DM9/P$2*100000</f>
        <v>27.612161623186037</v>
      </c>
      <c r="Q11" s="209">
        <f>Data!DN9/Q$2*100000</f>
        <v>34.083937376445725</v>
      </c>
      <c r="R11" s="209">
        <f>Data!DO9/R$2*100000</f>
        <v>22.561837246030898</v>
      </c>
      <c r="S11" s="209">
        <f>Data!DP9/S$2*100000</f>
        <v>46.90547312810132</v>
      </c>
      <c r="T11" s="209">
        <f>Data!DQ9/T$2*100000</f>
        <v>85.181666284441235</v>
      </c>
      <c r="U11" s="209">
        <f>Data!DR9/U$2*100000</f>
        <v>97.367033145360864</v>
      </c>
      <c r="V11" s="209">
        <f>Data!BR9/V$2*100000</f>
        <v>17.102984215477179</v>
      </c>
      <c r="W11" s="192"/>
    </row>
    <row r="12" spans="1:31" ht="12" customHeight="1">
      <c r="A12" s="192"/>
      <c r="B12" s="201" t="str">
        <f>UPPER(LEFT(TRIM(Data!B10),1)) &amp; MID(TRIM(Data!B10),2,50)</f>
        <v>Gaubtinės žarnos</v>
      </c>
      <c r="C12" s="202" t="str">
        <f>Data!C10</f>
        <v>C18</v>
      </c>
      <c r="D12" s="207">
        <f>Data!DA10/D$2*100000</f>
        <v>0</v>
      </c>
      <c r="E12" s="207">
        <f>Data!DB10/E$2*100000</f>
        <v>0</v>
      </c>
      <c r="F12" s="207">
        <f>Data!DC10/F$2*100000</f>
        <v>0</v>
      </c>
      <c r="G12" s="207">
        <f>Data!DD10/G$2*100000</f>
        <v>0</v>
      </c>
      <c r="H12" s="207">
        <f>Data!DE10/H$2*100000</f>
        <v>0</v>
      </c>
      <c r="I12" s="207">
        <f>Data!DF10/I$2*100000</f>
        <v>0</v>
      </c>
      <c r="J12" s="207">
        <f>Data!DG10/J$2*100000</f>
        <v>0</v>
      </c>
      <c r="K12" s="207">
        <f>Data!DH10/K$2*100000</f>
        <v>0</v>
      </c>
      <c r="L12" s="207">
        <f>Data!DI10/L$2*100000</f>
        <v>1.953869149383066</v>
      </c>
      <c r="M12" s="207">
        <f>Data!DJ10/M$2*100000</f>
        <v>3.6754233628286057</v>
      </c>
      <c r="N12" s="207">
        <f>Data!DK10/N$2*100000</f>
        <v>6.6970265202250205</v>
      </c>
      <c r="O12" s="207">
        <f>Data!DL10/O$2*100000</f>
        <v>7.7003371036465369</v>
      </c>
      <c r="P12" s="207">
        <f>Data!DM10/P$2*100000</f>
        <v>14.317417137948315</v>
      </c>
      <c r="Q12" s="207">
        <f>Data!DN10/Q$2*100000</f>
        <v>37.492331114090298</v>
      </c>
      <c r="R12" s="207">
        <f>Data!DO10/R$2*100000</f>
        <v>56.99832567418332</v>
      </c>
      <c r="S12" s="207">
        <f>Data!DP10/S$2*100000</f>
        <v>59.249018688127975</v>
      </c>
      <c r="T12" s="207">
        <f>Data!DQ10/T$2*100000</f>
        <v>99.924646987517619</v>
      </c>
      <c r="U12" s="207">
        <f>Data!DR10/U$2*100000</f>
        <v>117.65183171731105</v>
      </c>
      <c r="V12" s="207">
        <f>Data!BR10/V$2*100000</f>
        <v>18.187875005264914</v>
      </c>
      <c r="W12" s="192"/>
    </row>
    <row r="13" spans="1:31" ht="12" customHeight="1">
      <c r="A13" s="192"/>
      <c r="B13" s="187" t="str">
        <f>UPPER(LEFT(TRIM(Data!B11),1)) &amp; MID(TRIM(Data!B11),2,50)</f>
        <v>Tiesiosios žarnos, išangės</v>
      </c>
      <c r="C13" s="188" t="str">
        <f>Data!C11</f>
        <v>C19-C21</v>
      </c>
      <c r="D13" s="209">
        <f>Data!DA11/D$2*100000</f>
        <v>0</v>
      </c>
      <c r="E13" s="209">
        <f>Data!DB11/E$2*100000</f>
        <v>0</v>
      </c>
      <c r="F13" s="209">
        <f>Data!DC11/F$2*100000</f>
        <v>0</v>
      </c>
      <c r="G13" s="209">
        <f>Data!DD11/G$2*100000</f>
        <v>0</v>
      </c>
      <c r="H13" s="209">
        <f>Data!DE11/H$2*100000</f>
        <v>0</v>
      </c>
      <c r="I13" s="209">
        <f>Data!DF11/I$2*100000</f>
        <v>0</v>
      </c>
      <c r="J13" s="209">
        <f>Data!DG11/J$2*100000</f>
        <v>0</v>
      </c>
      <c r="K13" s="209">
        <f>Data!DH11/K$2*100000</f>
        <v>1.1211642169228526</v>
      </c>
      <c r="L13" s="209">
        <f>Data!DI11/L$2*100000</f>
        <v>0</v>
      </c>
      <c r="M13" s="209">
        <f>Data!DJ11/M$2*100000</f>
        <v>3.6754233628286057</v>
      </c>
      <c r="N13" s="209">
        <f>Data!DK11/N$2*100000</f>
        <v>8.3712831502812737</v>
      </c>
      <c r="O13" s="209">
        <f>Data!DL11/O$2*100000</f>
        <v>9.4115231266791017</v>
      </c>
      <c r="P13" s="209">
        <f>Data!DM11/P$2*100000</f>
        <v>23.52147101234366</v>
      </c>
      <c r="Q13" s="209">
        <f>Data!DN11/Q$2*100000</f>
        <v>21.586493671748961</v>
      </c>
      <c r="R13" s="209">
        <f>Data!DO11/R$2*100000</f>
        <v>23.74930236424305</v>
      </c>
      <c r="S13" s="209">
        <f>Data!DP11/S$2*100000</f>
        <v>44.436764016095978</v>
      </c>
      <c r="T13" s="209">
        <f>Data!DQ11/T$2*100000</f>
        <v>47.505160043246079</v>
      </c>
      <c r="U13" s="209">
        <f>Data!DR11/U$2*100000</f>
        <v>70.996795001825632</v>
      </c>
      <c r="V13" s="209">
        <f>Data!BR11/V$2*100000</f>
        <v>11.997615792946677</v>
      </c>
      <c r="W13" s="192"/>
    </row>
    <row r="14" spans="1:31" ht="12" customHeight="1">
      <c r="A14" s="192"/>
      <c r="B14" s="201" t="str">
        <f>UPPER(LEFT(TRIM(Data!B12),1)) &amp; MID(TRIM(Data!B12),2,50)</f>
        <v>Kepenų</v>
      </c>
      <c r="C14" s="202" t="str">
        <f>Data!C12</f>
        <v>C22</v>
      </c>
      <c r="D14" s="207">
        <f>Data!DA12/D$2*100000</f>
        <v>0</v>
      </c>
      <c r="E14" s="207">
        <f>Data!DB12/E$2*100000</f>
        <v>0</v>
      </c>
      <c r="F14" s="207">
        <f>Data!DC12/F$2*100000</f>
        <v>0</v>
      </c>
      <c r="G14" s="207">
        <f>Data!DD12/G$2*100000</f>
        <v>0</v>
      </c>
      <c r="H14" s="207">
        <f>Data!DE12/H$2*100000</f>
        <v>0</v>
      </c>
      <c r="I14" s="207">
        <f>Data!DF12/I$2*100000</f>
        <v>0</v>
      </c>
      <c r="J14" s="207">
        <f>Data!DG12/J$2*100000</f>
        <v>0</v>
      </c>
      <c r="K14" s="207">
        <f>Data!DH12/K$2*100000</f>
        <v>0</v>
      </c>
      <c r="L14" s="207">
        <f>Data!DI12/L$2*100000</f>
        <v>0.976934574691533</v>
      </c>
      <c r="M14" s="207">
        <f>Data!DJ12/M$2*100000</f>
        <v>0.91885584070715143</v>
      </c>
      <c r="N14" s="207">
        <f>Data!DK12/N$2*100000</f>
        <v>3.3485132601125103</v>
      </c>
      <c r="O14" s="207">
        <f>Data!DL12/O$2*100000</f>
        <v>5.9891510806139738</v>
      </c>
      <c r="P14" s="207">
        <f>Data!DM12/P$2*100000</f>
        <v>4.0906906108423753</v>
      </c>
      <c r="Q14" s="207">
        <f>Data!DN12/Q$2*100000</f>
        <v>12.497443704696765</v>
      </c>
      <c r="R14" s="207">
        <f>Data!DO12/R$2*100000</f>
        <v>15.437046536757984</v>
      </c>
      <c r="S14" s="207">
        <f>Data!DP12/S$2*100000</f>
        <v>19.749672896042661</v>
      </c>
      <c r="T14" s="207">
        <f>Data!DQ12/T$2*100000</f>
        <v>26.20974347213577</v>
      </c>
      <c r="U14" s="207">
        <f>Data!DR12/U$2*100000</f>
        <v>24.341758286340216</v>
      </c>
      <c r="V14" s="207">
        <f>Data!BR12/V$2*100000</f>
        <v>5.4244539489386581</v>
      </c>
      <c r="W14" s="192"/>
    </row>
    <row r="15" spans="1:31" ht="12" customHeight="1">
      <c r="A15" s="192"/>
      <c r="B15" s="187" t="str">
        <f>UPPER(LEFT(TRIM(Data!B13),1)) &amp; MID(TRIM(Data!B13),2,50)</f>
        <v>Tulžies pūslės, ekstrahepatinių takų</v>
      </c>
      <c r="C15" s="188" t="str">
        <f>Data!C13</f>
        <v>C23, C24</v>
      </c>
      <c r="D15" s="209">
        <f>Data!DA13/D$2*100000</f>
        <v>0</v>
      </c>
      <c r="E15" s="209">
        <f>Data!DB13/E$2*100000</f>
        <v>0</v>
      </c>
      <c r="F15" s="209">
        <f>Data!DC13/F$2*100000</f>
        <v>0</v>
      </c>
      <c r="G15" s="209">
        <f>Data!DD13/G$2*100000</f>
        <v>0</v>
      </c>
      <c r="H15" s="209">
        <f>Data!DE13/H$2*100000</f>
        <v>0</v>
      </c>
      <c r="I15" s="209">
        <f>Data!DF13/I$2*100000</f>
        <v>0</v>
      </c>
      <c r="J15" s="209">
        <f>Data!DG13/J$2*100000</f>
        <v>0</v>
      </c>
      <c r="K15" s="209">
        <f>Data!DH13/K$2*100000</f>
        <v>0</v>
      </c>
      <c r="L15" s="209">
        <f>Data!DI13/L$2*100000</f>
        <v>0</v>
      </c>
      <c r="M15" s="209">
        <f>Data!DJ13/M$2*100000</f>
        <v>0.91885584070715143</v>
      </c>
      <c r="N15" s="209">
        <f>Data!DK13/N$2*100000</f>
        <v>0.83712831502812757</v>
      </c>
      <c r="O15" s="209">
        <f>Data!DL13/O$2*100000</f>
        <v>2.5667790345488455</v>
      </c>
      <c r="P15" s="209">
        <f>Data!DM13/P$2*100000</f>
        <v>11.249399179816532</v>
      </c>
      <c r="Q15" s="209">
        <f>Data!DN13/Q$2*100000</f>
        <v>10.225181212933718</v>
      </c>
      <c r="R15" s="209">
        <f>Data!DO13/R$2*100000</f>
        <v>9.49972094569722</v>
      </c>
      <c r="S15" s="209">
        <f>Data!DP13/S$2*100000</f>
        <v>9.8748364480213304</v>
      </c>
      <c r="T15" s="209">
        <f>Data!DQ13/T$2*100000</f>
        <v>16.381089670084855</v>
      </c>
      <c r="U15" s="209">
        <f>Data!DR13/U$2*100000</f>
        <v>20.28479857195018</v>
      </c>
      <c r="V15" s="209">
        <f>Data!BR13/V$2*100000</f>
        <v>3.8928434221795074</v>
      </c>
      <c r="W15" s="192"/>
    </row>
    <row r="16" spans="1:31" ht="12" customHeight="1">
      <c r="A16" s="192"/>
      <c r="B16" s="201" t="str">
        <f>UPPER(LEFT(TRIM(Data!B14),1)) &amp; MID(TRIM(Data!B14),2,50)</f>
        <v>Kasos</v>
      </c>
      <c r="C16" s="202" t="str">
        <f>Data!C14</f>
        <v>C25</v>
      </c>
      <c r="D16" s="207">
        <f>Data!DA14/D$2*100000</f>
        <v>0</v>
      </c>
      <c r="E16" s="207">
        <f>Data!DB14/E$2*100000</f>
        <v>0</v>
      </c>
      <c r="F16" s="207">
        <f>Data!DC14/F$2*100000</f>
        <v>0</v>
      </c>
      <c r="G16" s="207">
        <f>Data!DD14/G$2*100000</f>
        <v>0</v>
      </c>
      <c r="H16" s="207">
        <f>Data!DE14/H$2*100000</f>
        <v>0</v>
      </c>
      <c r="I16" s="207">
        <f>Data!DF14/I$2*100000</f>
        <v>1.0510384259648533</v>
      </c>
      <c r="J16" s="207">
        <f>Data!DG14/J$2*100000</f>
        <v>0</v>
      </c>
      <c r="K16" s="207">
        <f>Data!DH14/K$2*100000</f>
        <v>0</v>
      </c>
      <c r="L16" s="207">
        <f>Data!DI14/L$2*100000</f>
        <v>0</v>
      </c>
      <c r="M16" s="207">
        <f>Data!DJ14/M$2*100000</f>
        <v>4.5942792035357574</v>
      </c>
      <c r="N16" s="207">
        <f>Data!DK14/N$2*100000</f>
        <v>7.5341548352531484</v>
      </c>
      <c r="O16" s="207">
        <f>Data!DL14/O$2*100000</f>
        <v>11.122709149711666</v>
      </c>
      <c r="P16" s="207">
        <f>Data!DM14/P$2*100000</f>
        <v>18.408107748790691</v>
      </c>
      <c r="Q16" s="207">
        <f>Data!DN14/Q$2*100000</f>
        <v>35.220068622327254</v>
      </c>
      <c r="R16" s="207">
        <f>Data!DO14/R$2*100000</f>
        <v>35.623953546364575</v>
      </c>
      <c r="S16" s="207">
        <f>Data!DP14/S$2*100000</f>
        <v>74.061273360159973</v>
      </c>
      <c r="T16" s="207">
        <f>Data!DQ14/T$2*100000</f>
        <v>72.076794548373357</v>
      </c>
      <c r="U16" s="207">
        <f>Data!DR14/U$2*100000</f>
        <v>64.911355430240576</v>
      </c>
      <c r="V16" s="207">
        <f>Data!BR14/V$2*100000</f>
        <v>15.507556583436397</v>
      </c>
      <c r="W16" s="192"/>
    </row>
    <row r="17" spans="1:23" ht="12" customHeight="1">
      <c r="A17" s="192"/>
      <c r="B17" s="187" t="str">
        <f>UPPER(LEFT(TRIM(Data!B15),1)) &amp; MID(TRIM(Data!B15),2,50)</f>
        <v>Kitų virškinimo sistemos organų</v>
      </c>
      <c r="C17" s="188" t="str">
        <f>Data!C15</f>
        <v>C17, C26, C48</v>
      </c>
      <c r="D17" s="209">
        <f>Data!DA15/D$2*100000</f>
        <v>0</v>
      </c>
      <c r="E17" s="209">
        <f>Data!DB15/E$2*100000</f>
        <v>0</v>
      </c>
      <c r="F17" s="209">
        <f>Data!DC15/F$2*100000</f>
        <v>0</v>
      </c>
      <c r="G17" s="209">
        <f>Data!DD15/G$2*100000</f>
        <v>0</v>
      </c>
      <c r="H17" s="209">
        <f>Data!DE15/H$2*100000</f>
        <v>0</v>
      </c>
      <c r="I17" s="209">
        <f>Data!DF15/I$2*100000</f>
        <v>0</v>
      </c>
      <c r="J17" s="209">
        <f>Data!DG15/J$2*100000</f>
        <v>0</v>
      </c>
      <c r="K17" s="209">
        <f>Data!DH15/K$2*100000</f>
        <v>0</v>
      </c>
      <c r="L17" s="209">
        <f>Data!DI15/L$2*100000</f>
        <v>0</v>
      </c>
      <c r="M17" s="209">
        <f>Data!DJ15/M$2*100000</f>
        <v>0.91885584070715143</v>
      </c>
      <c r="N17" s="209">
        <f>Data!DK15/N$2*100000</f>
        <v>1.6742566300562551</v>
      </c>
      <c r="O17" s="209">
        <f>Data!DL15/O$2*100000</f>
        <v>1.7111860230325637</v>
      </c>
      <c r="P17" s="209">
        <f>Data!DM15/P$2*100000</f>
        <v>1.0226726527105938</v>
      </c>
      <c r="Q17" s="209">
        <f>Data!DN15/Q$2*100000</f>
        <v>11.361312458815243</v>
      </c>
      <c r="R17" s="209">
        <f>Data!DO15/R$2*100000</f>
        <v>2.374930236424305</v>
      </c>
      <c r="S17" s="209">
        <f>Data!DP15/S$2*100000</f>
        <v>4.9374182240106652</v>
      </c>
      <c r="T17" s="209">
        <f>Data!DQ15/T$2*100000</f>
        <v>11.466762769059399</v>
      </c>
      <c r="U17" s="209">
        <f>Data!DR15/U$2*100000</f>
        <v>14.199359000365128</v>
      </c>
      <c r="V17" s="209">
        <f>Data!BR15/V$2*100000</f>
        <v>2.2974157901387255</v>
      </c>
      <c r="W17" s="192"/>
    </row>
    <row r="18" spans="1:23" ht="12" customHeight="1">
      <c r="A18" s="192"/>
      <c r="B18" s="201" t="str">
        <f>UPPER(LEFT(TRIM(Data!B16),1)) &amp; MID(TRIM(Data!B16),2,50)</f>
        <v>Nosies ertmės, vid.ausies ir ančių</v>
      </c>
      <c r="C18" s="202" t="str">
        <f>Data!C16</f>
        <v>C30, C31</v>
      </c>
      <c r="D18" s="207">
        <f>Data!DA16/D$2*100000</f>
        <v>0</v>
      </c>
      <c r="E18" s="207">
        <f>Data!DB16/E$2*100000</f>
        <v>0</v>
      </c>
      <c r="F18" s="207">
        <f>Data!DC16/F$2*100000</f>
        <v>0</v>
      </c>
      <c r="G18" s="207">
        <f>Data!DD16/G$2*100000</f>
        <v>0</v>
      </c>
      <c r="H18" s="207">
        <f>Data!DE16/H$2*100000</f>
        <v>0</v>
      </c>
      <c r="I18" s="207">
        <f>Data!DF16/I$2*100000</f>
        <v>0</v>
      </c>
      <c r="J18" s="207">
        <f>Data!DG16/J$2*100000</f>
        <v>0</v>
      </c>
      <c r="K18" s="207">
        <f>Data!DH16/K$2*100000</f>
        <v>0</v>
      </c>
      <c r="L18" s="207">
        <f>Data!DI16/L$2*100000</f>
        <v>0.976934574691533</v>
      </c>
      <c r="M18" s="207">
        <f>Data!DJ16/M$2*100000</f>
        <v>0</v>
      </c>
      <c r="N18" s="207">
        <f>Data!DK16/N$2*100000</f>
        <v>0</v>
      </c>
      <c r="O18" s="207">
        <f>Data!DL16/O$2*100000</f>
        <v>0.85559301151628186</v>
      </c>
      <c r="P18" s="207">
        <f>Data!DM16/P$2*100000</f>
        <v>0</v>
      </c>
      <c r="Q18" s="207">
        <f>Data!DN16/Q$2*100000</f>
        <v>1.1361312458815243</v>
      </c>
      <c r="R18" s="207">
        <f>Data!DO16/R$2*100000</f>
        <v>1.1874651182121525</v>
      </c>
      <c r="S18" s="207">
        <f>Data!DP16/S$2*100000</f>
        <v>2.4687091120053326</v>
      </c>
      <c r="T18" s="207">
        <f>Data!DQ16/T$2*100000</f>
        <v>0</v>
      </c>
      <c r="U18" s="207">
        <f>Data!DR16/U$2*100000</f>
        <v>6.085439571585054</v>
      </c>
      <c r="V18" s="207">
        <f>Data!BR16/V$2*100000</f>
        <v>0.57435394753468139</v>
      </c>
      <c r="W18" s="192"/>
    </row>
    <row r="19" spans="1:23" ht="12" customHeight="1">
      <c r="A19" s="192"/>
      <c r="B19" s="187" t="str">
        <f>UPPER(LEFT(TRIM(Data!B17),1)) &amp; MID(TRIM(Data!B17),2,50)</f>
        <v>Gerklų</v>
      </c>
      <c r="C19" s="188" t="str">
        <f>Data!C17</f>
        <v>C32</v>
      </c>
      <c r="D19" s="209">
        <f>Data!DA17/D$2*100000</f>
        <v>0</v>
      </c>
      <c r="E19" s="209">
        <f>Data!DB17/E$2*100000</f>
        <v>0</v>
      </c>
      <c r="F19" s="209">
        <f>Data!DC17/F$2*100000</f>
        <v>0</v>
      </c>
      <c r="G19" s="209">
        <f>Data!DD17/G$2*100000</f>
        <v>0</v>
      </c>
      <c r="H19" s="209">
        <f>Data!DE17/H$2*100000</f>
        <v>0</v>
      </c>
      <c r="I19" s="209">
        <f>Data!DF17/I$2*100000</f>
        <v>0</v>
      </c>
      <c r="J19" s="209">
        <f>Data!DG17/J$2*100000</f>
        <v>0</v>
      </c>
      <c r="K19" s="209">
        <f>Data!DH17/K$2*100000</f>
        <v>0</v>
      </c>
      <c r="L19" s="209">
        <f>Data!DI17/L$2*100000</f>
        <v>0</v>
      </c>
      <c r="M19" s="209">
        <f>Data!DJ17/M$2*100000</f>
        <v>0</v>
      </c>
      <c r="N19" s="209">
        <f>Data!DK17/N$2*100000</f>
        <v>0.83712831502812757</v>
      </c>
      <c r="O19" s="209">
        <f>Data!DL17/O$2*100000</f>
        <v>2.5667790345488455</v>
      </c>
      <c r="P19" s="209">
        <f>Data!DM17/P$2*100000</f>
        <v>3.0680179581317817</v>
      </c>
      <c r="Q19" s="209">
        <f>Data!DN17/Q$2*100000</f>
        <v>3.4083937376445732</v>
      </c>
      <c r="R19" s="209">
        <f>Data!DO17/R$2*100000</f>
        <v>0</v>
      </c>
      <c r="S19" s="209">
        <f>Data!DP17/S$2*100000</f>
        <v>0</v>
      </c>
      <c r="T19" s="209">
        <f>Data!DQ17/T$2*100000</f>
        <v>0</v>
      </c>
      <c r="U19" s="209">
        <f>Data!DR17/U$2*100000</f>
        <v>0</v>
      </c>
      <c r="V19" s="209">
        <f>Data!BR17/V$2*100000</f>
        <v>0.6381710528163127</v>
      </c>
      <c r="W19" s="192"/>
    </row>
    <row r="20" spans="1:23" ht="12" customHeight="1">
      <c r="A20" s="192"/>
      <c r="B20" s="201" t="str">
        <f>UPPER(LEFT(TRIM(Data!B18),1)) &amp; MID(TRIM(Data!B18),2,50)</f>
        <v>Plaučių, trachėjos, bronchų</v>
      </c>
      <c r="C20" s="202" t="str">
        <f>Data!C18</f>
        <v>C33, C34</v>
      </c>
      <c r="D20" s="207">
        <f>Data!DA18/D$2*100000</f>
        <v>0</v>
      </c>
      <c r="E20" s="207">
        <f>Data!DB18/E$2*100000</f>
        <v>0</v>
      </c>
      <c r="F20" s="207">
        <f>Data!DC18/F$2*100000</f>
        <v>0</v>
      </c>
      <c r="G20" s="207">
        <f>Data!DD18/G$2*100000</f>
        <v>0</v>
      </c>
      <c r="H20" s="207">
        <f>Data!DE18/H$2*100000</f>
        <v>0</v>
      </c>
      <c r="I20" s="207">
        <f>Data!DF18/I$2*100000</f>
        <v>0</v>
      </c>
      <c r="J20" s="207">
        <f>Data!DG18/J$2*100000</f>
        <v>0</v>
      </c>
      <c r="K20" s="207">
        <f>Data!DH18/K$2*100000</f>
        <v>0</v>
      </c>
      <c r="L20" s="207">
        <f>Data!DI18/L$2*100000</f>
        <v>3.907738298766132</v>
      </c>
      <c r="M20" s="207">
        <f>Data!DJ18/M$2*100000</f>
        <v>3.6754233628286057</v>
      </c>
      <c r="N20" s="207">
        <f>Data!DK18/N$2*100000</f>
        <v>10.045539780337529</v>
      </c>
      <c r="O20" s="207">
        <f>Data!DL18/O$2*100000</f>
        <v>17.96745324184192</v>
      </c>
      <c r="P20" s="207">
        <f>Data!DM18/P$2*100000</f>
        <v>28.63483427589663</v>
      </c>
      <c r="Q20" s="207">
        <f>Data!DN18/Q$2*100000</f>
        <v>36.356199868208776</v>
      </c>
      <c r="R20" s="207">
        <f>Data!DO18/R$2*100000</f>
        <v>35.623953546364575</v>
      </c>
      <c r="S20" s="207">
        <f>Data!DP18/S$2*100000</f>
        <v>50.608536796109313</v>
      </c>
      <c r="T20" s="207">
        <f>Data!DQ18/T$2*100000</f>
        <v>73.714903515381849</v>
      </c>
      <c r="U20" s="207">
        <f>Data!DR18/U$2*100000</f>
        <v>58.825915858655527</v>
      </c>
      <c r="V20" s="207">
        <f>Data!BR18/V$2*100000</f>
        <v>15.699007899281291</v>
      </c>
      <c r="W20" s="192"/>
    </row>
    <row r="21" spans="1:23" ht="12" customHeight="1">
      <c r="A21" s="192"/>
      <c r="B21" s="187" t="str">
        <f>UPPER(LEFT(TRIM(Data!B19),1)) &amp; MID(TRIM(Data!B19),2,50)</f>
        <v>Kitų kvėpavimo sistemos organų</v>
      </c>
      <c r="C21" s="188" t="str">
        <f>Data!C19</f>
        <v>C37-C39</v>
      </c>
      <c r="D21" s="209">
        <f>Data!DA19/D$2*100000</f>
        <v>0</v>
      </c>
      <c r="E21" s="209">
        <f>Data!DB19/E$2*100000</f>
        <v>0</v>
      </c>
      <c r="F21" s="209">
        <f>Data!DC19/F$2*100000</f>
        <v>0</v>
      </c>
      <c r="G21" s="209">
        <f>Data!DD19/G$2*100000</f>
        <v>0</v>
      </c>
      <c r="H21" s="209">
        <f>Data!DE19/H$2*100000</f>
        <v>0</v>
      </c>
      <c r="I21" s="209">
        <f>Data!DF19/I$2*100000</f>
        <v>0</v>
      </c>
      <c r="J21" s="209">
        <f>Data!DG19/J$2*100000</f>
        <v>0</v>
      </c>
      <c r="K21" s="209">
        <f>Data!DH19/K$2*100000</f>
        <v>0</v>
      </c>
      <c r="L21" s="209">
        <f>Data!DI19/L$2*100000</f>
        <v>0</v>
      </c>
      <c r="M21" s="209">
        <f>Data!DJ19/M$2*100000</f>
        <v>0</v>
      </c>
      <c r="N21" s="209">
        <f>Data!DK19/N$2*100000</f>
        <v>0.83712831502812757</v>
      </c>
      <c r="O21" s="209">
        <f>Data!DL19/O$2*100000</f>
        <v>0</v>
      </c>
      <c r="P21" s="209">
        <f>Data!DM19/P$2*100000</f>
        <v>0</v>
      </c>
      <c r="Q21" s="209">
        <f>Data!DN19/Q$2*100000</f>
        <v>0</v>
      </c>
      <c r="R21" s="209">
        <f>Data!DO19/R$2*100000</f>
        <v>1.1874651182121525</v>
      </c>
      <c r="S21" s="209">
        <f>Data!DP19/S$2*100000</f>
        <v>0</v>
      </c>
      <c r="T21" s="209">
        <f>Data!DQ19/T$2*100000</f>
        <v>1.6381089670084856</v>
      </c>
      <c r="U21" s="209">
        <f>Data!DR19/U$2*100000</f>
        <v>2.028479857195018</v>
      </c>
      <c r="V21" s="209">
        <f>Data!BR19/V$2*100000</f>
        <v>0.25526842112652504</v>
      </c>
      <c r="W21" s="192"/>
    </row>
    <row r="22" spans="1:23" ht="12" customHeight="1">
      <c r="A22" s="192"/>
      <c r="B22" s="201" t="str">
        <f>UPPER(LEFT(TRIM(Data!B20),1)) &amp; MID(TRIM(Data!B20),2,50)</f>
        <v>Kaulų ir jungiamojo audinio</v>
      </c>
      <c r="C22" s="202" t="str">
        <f>Data!C20</f>
        <v>C40-C41, C45-C47, C49</v>
      </c>
      <c r="D22" s="207">
        <f>Data!DA20/D$2*100000</f>
        <v>0</v>
      </c>
      <c r="E22" s="207">
        <f>Data!DB20/E$2*100000</f>
        <v>0</v>
      </c>
      <c r="F22" s="207">
        <f>Data!DC20/F$2*100000</f>
        <v>0</v>
      </c>
      <c r="G22" s="207">
        <f>Data!DD20/G$2*100000</f>
        <v>2.4745737546707582</v>
      </c>
      <c r="H22" s="207">
        <f>Data!DE20/H$2*100000</f>
        <v>0</v>
      </c>
      <c r="I22" s="207">
        <f>Data!DF20/I$2*100000</f>
        <v>0</v>
      </c>
      <c r="J22" s="207">
        <f>Data!DG20/J$2*100000</f>
        <v>0</v>
      </c>
      <c r="K22" s="207">
        <f>Data!DH20/K$2*100000</f>
        <v>1.1211642169228526</v>
      </c>
      <c r="L22" s="207">
        <f>Data!DI20/L$2*100000</f>
        <v>0.976934574691533</v>
      </c>
      <c r="M22" s="207">
        <f>Data!DJ20/M$2*100000</f>
        <v>2.7565675221214545</v>
      </c>
      <c r="N22" s="207">
        <f>Data!DK20/N$2*100000</f>
        <v>2.5113849450843824</v>
      </c>
      <c r="O22" s="207">
        <f>Data!DL20/O$2*100000</f>
        <v>1.7111860230325637</v>
      </c>
      <c r="P22" s="207">
        <f>Data!DM20/P$2*100000</f>
        <v>5.1133632635529693</v>
      </c>
      <c r="Q22" s="207">
        <f>Data!DN20/Q$2*100000</f>
        <v>5.6806562294076217</v>
      </c>
      <c r="R22" s="207">
        <f>Data!DO20/R$2*100000</f>
        <v>5.9373255910607625</v>
      </c>
      <c r="S22" s="207">
        <f>Data!DP20/S$2*100000</f>
        <v>7.4061273360159969</v>
      </c>
      <c r="T22" s="207">
        <f>Data!DQ20/T$2*100000</f>
        <v>11.466762769059399</v>
      </c>
      <c r="U22" s="207">
        <f>Data!DR20/U$2*100000</f>
        <v>4.056959714390036</v>
      </c>
      <c r="V22" s="207">
        <f>Data!BR20/V$2*100000</f>
        <v>2.6803184218285132</v>
      </c>
      <c r="W22" s="192"/>
    </row>
    <row r="23" spans="1:23" ht="12" customHeight="1">
      <c r="A23" s="192"/>
      <c r="B23" s="187" t="str">
        <f>UPPER(LEFT(TRIM(Data!B21),1)) &amp; MID(TRIM(Data!B21),2,50)</f>
        <v>Odos melanoma</v>
      </c>
      <c r="C23" s="188" t="str">
        <f>Data!C21</f>
        <v>C43</v>
      </c>
      <c r="D23" s="209">
        <f>Data!DA21/D$2*100000</f>
        <v>0</v>
      </c>
      <c r="E23" s="209">
        <f>Data!DB21/E$2*100000</f>
        <v>0</v>
      </c>
      <c r="F23" s="209">
        <f>Data!DC21/F$2*100000</f>
        <v>0</v>
      </c>
      <c r="G23" s="209">
        <f>Data!DD21/G$2*100000</f>
        <v>0</v>
      </c>
      <c r="H23" s="209">
        <f>Data!DE21/H$2*100000</f>
        <v>0</v>
      </c>
      <c r="I23" s="209">
        <f>Data!DF21/I$2*100000</f>
        <v>0</v>
      </c>
      <c r="J23" s="209">
        <f>Data!DG21/J$2*100000</f>
        <v>0</v>
      </c>
      <c r="K23" s="209">
        <f>Data!DH21/K$2*100000</f>
        <v>0</v>
      </c>
      <c r="L23" s="209">
        <f>Data!DI21/L$2*100000</f>
        <v>0</v>
      </c>
      <c r="M23" s="209">
        <f>Data!DJ21/M$2*100000</f>
        <v>1.8377116814143029</v>
      </c>
      <c r="N23" s="209">
        <f>Data!DK21/N$2*100000</f>
        <v>3.3485132601125103</v>
      </c>
      <c r="O23" s="209">
        <f>Data!DL21/O$2*100000</f>
        <v>6.8447440921302549</v>
      </c>
      <c r="P23" s="209">
        <f>Data!DM21/P$2*100000</f>
        <v>3.0680179581317817</v>
      </c>
      <c r="Q23" s="209">
        <f>Data!DN21/Q$2*100000</f>
        <v>2.2722624917630485</v>
      </c>
      <c r="R23" s="209">
        <f>Data!DO21/R$2*100000</f>
        <v>10.687186063909373</v>
      </c>
      <c r="S23" s="209">
        <f>Data!DP21/S$2*100000</f>
        <v>16.046609228034661</v>
      </c>
      <c r="T23" s="209">
        <f>Data!DQ21/T$2*100000</f>
        <v>9.828653802050912</v>
      </c>
      <c r="U23" s="209">
        <f>Data!DR21/U$2*100000</f>
        <v>14.199359000365128</v>
      </c>
      <c r="V23" s="209">
        <f>Data!BR21/V$2*100000</f>
        <v>3.4461236852080885</v>
      </c>
      <c r="W23" s="192"/>
    </row>
    <row r="24" spans="1:23" ht="12" customHeight="1">
      <c r="A24" s="192"/>
      <c r="B24" s="201" t="str">
        <f>UPPER(LEFT(TRIM(Data!B22),1)) &amp; MID(TRIM(Data!B22),2,50)</f>
        <v>Kiti odos piktybiniai navikai</v>
      </c>
      <c r="C24" s="202" t="str">
        <f>Data!C22</f>
        <v>C44</v>
      </c>
      <c r="D24" s="207">
        <f>Data!DA22/D$2*100000</f>
        <v>0</v>
      </c>
      <c r="E24" s="207">
        <f>Data!DB22/E$2*100000</f>
        <v>0</v>
      </c>
      <c r="F24" s="207">
        <f>Data!DC22/F$2*100000</f>
        <v>0</v>
      </c>
      <c r="G24" s="207">
        <f>Data!DD22/G$2*100000</f>
        <v>0</v>
      </c>
      <c r="H24" s="207">
        <f>Data!DE22/H$2*100000</f>
        <v>0</v>
      </c>
      <c r="I24" s="207">
        <f>Data!DF22/I$2*100000</f>
        <v>0</v>
      </c>
      <c r="J24" s="207">
        <f>Data!DG22/J$2*100000</f>
        <v>0</v>
      </c>
      <c r="K24" s="207">
        <f>Data!DH22/K$2*100000</f>
        <v>1.1211642169228526</v>
      </c>
      <c r="L24" s="207">
        <f>Data!DI22/L$2*100000</f>
        <v>0</v>
      </c>
      <c r="M24" s="207">
        <f>Data!DJ22/M$2*100000</f>
        <v>0.91885584070715143</v>
      </c>
      <c r="N24" s="207">
        <f>Data!DK22/N$2*100000</f>
        <v>0</v>
      </c>
      <c r="O24" s="207">
        <f>Data!DL22/O$2*100000</f>
        <v>0</v>
      </c>
      <c r="P24" s="207">
        <f>Data!DM22/P$2*100000</f>
        <v>0</v>
      </c>
      <c r="Q24" s="207">
        <f>Data!DN22/Q$2*100000</f>
        <v>0</v>
      </c>
      <c r="R24" s="207">
        <f>Data!DO22/R$2*100000</f>
        <v>1.1874651182121525</v>
      </c>
      <c r="S24" s="207">
        <f>Data!DP22/S$2*100000</f>
        <v>2.4687091120053326</v>
      </c>
      <c r="T24" s="207">
        <f>Data!DQ22/T$2*100000</f>
        <v>14.74298070307637</v>
      </c>
      <c r="U24" s="207">
        <f>Data!DR22/U$2*100000</f>
        <v>18.25631871475516</v>
      </c>
      <c r="V24" s="207">
        <f>Data!BR22/V$2*100000</f>
        <v>1.4677934214775192</v>
      </c>
      <c r="W24" s="192"/>
    </row>
    <row r="25" spans="1:23" ht="12" customHeight="1">
      <c r="A25" s="192"/>
      <c r="B25" s="187" t="str">
        <f>UPPER(LEFT(TRIM(Data!B23),1)) &amp; MID(TRIM(Data!B23),2,50)</f>
        <v>Krūties</v>
      </c>
      <c r="C25" s="188" t="str">
        <f>Data!C23</f>
        <v>C50</v>
      </c>
      <c r="D25" s="209">
        <f>Data!DA23/D$2*100000</f>
        <v>0</v>
      </c>
      <c r="E25" s="209">
        <f>Data!DB23/E$2*100000</f>
        <v>0</v>
      </c>
      <c r="F25" s="209">
        <f>Data!DC23/F$2*100000</f>
        <v>0</v>
      </c>
      <c r="G25" s="209">
        <f>Data!DD23/G$2*100000</f>
        <v>0</v>
      </c>
      <c r="H25" s="209">
        <f>Data!DE23/H$2*100000</f>
        <v>0</v>
      </c>
      <c r="I25" s="209">
        <f>Data!DF23/I$2*100000</f>
        <v>1.0510384259648533</v>
      </c>
      <c r="J25" s="209">
        <f>Data!DG23/J$2*100000</f>
        <v>6.8351142603267192</v>
      </c>
      <c r="K25" s="209">
        <f>Data!DH23/K$2*100000</f>
        <v>10.090477952305674</v>
      </c>
      <c r="L25" s="209">
        <f>Data!DI23/L$2*100000</f>
        <v>18.561756919139125</v>
      </c>
      <c r="M25" s="209">
        <f>Data!DJ23/M$2*100000</f>
        <v>23.890251858385938</v>
      </c>
      <c r="N25" s="209">
        <f>Data!DK23/N$2*100000</f>
        <v>33.485132601125095</v>
      </c>
      <c r="O25" s="209">
        <f>Data!DL23/O$2*100000</f>
        <v>46.202022621879223</v>
      </c>
      <c r="P25" s="209">
        <f>Data!DM23/P$2*100000</f>
        <v>62.383031815346229</v>
      </c>
      <c r="Q25" s="209">
        <f>Data!DN23/Q$2*100000</f>
        <v>76.120793474062125</v>
      </c>
      <c r="R25" s="209">
        <f>Data!DO23/R$2*100000</f>
        <v>93.809744338760041</v>
      </c>
      <c r="S25" s="209">
        <f>Data!DP23/S$2*100000</f>
        <v>77.764337028167972</v>
      </c>
      <c r="T25" s="209">
        <f>Data!DQ23/T$2*100000</f>
        <v>121.22006355862793</v>
      </c>
      <c r="U25" s="209">
        <f>Data!DR23/U$2*100000</f>
        <v>144.02206986084627</v>
      </c>
      <c r="V25" s="209">
        <f>Data!BR23/V$2*100000</f>
        <v>36.375750010529828</v>
      </c>
      <c r="W25" s="192"/>
    </row>
    <row r="26" spans="1:23" ht="12" customHeight="1">
      <c r="A26" s="192"/>
      <c r="B26" s="201" t="str">
        <f>UPPER(LEFT(TRIM(Data!B24),1)) &amp; MID(TRIM(Data!B24),2,50)</f>
        <v>Vulvos</v>
      </c>
      <c r="C26" s="202" t="str">
        <f>Data!C24</f>
        <v>C51</v>
      </c>
      <c r="D26" s="207">
        <f>Data!DA24/D$2*100000</f>
        <v>0</v>
      </c>
      <c r="E26" s="207">
        <f>Data!DB24/E$2*100000</f>
        <v>0</v>
      </c>
      <c r="F26" s="207">
        <f>Data!DC24/F$2*100000</f>
        <v>0</v>
      </c>
      <c r="G26" s="207">
        <f>Data!DD24/G$2*100000</f>
        <v>0</v>
      </c>
      <c r="H26" s="207">
        <f>Data!DE24/H$2*100000</f>
        <v>0</v>
      </c>
      <c r="I26" s="207">
        <f>Data!DF24/I$2*100000</f>
        <v>0</v>
      </c>
      <c r="J26" s="207">
        <f>Data!DG24/J$2*100000</f>
        <v>0</v>
      </c>
      <c r="K26" s="207">
        <f>Data!DH24/K$2*100000</f>
        <v>0</v>
      </c>
      <c r="L26" s="207">
        <f>Data!DI24/L$2*100000</f>
        <v>0</v>
      </c>
      <c r="M26" s="207">
        <f>Data!DJ24/M$2*100000</f>
        <v>1.8377116814143029</v>
      </c>
      <c r="N26" s="207">
        <f>Data!DK24/N$2*100000</f>
        <v>0</v>
      </c>
      <c r="O26" s="207">
        <f>Data!DL24/O$2*100000</f>
        <v>0</v>
      </c>
      <c r="P26" s="207">
        <f>Data!DM24/P$2*100000</f>
        <v>2.0453453054211876</v>
      </c>
      <c r="Q26" s="207">
        <f>Data!DN24/Q$2*100000</f>
        <v>0</v>
      </c>
      <c r="R26" s="207">
        <f>Data!DO24/R$2*100000</f>
        <v>4.74986047284861</v>
      </c>
      <c r="S26" s="207">
        <f>Data!DP24/S$2*100000</f>
        <v>2.4687091120053326</v>
      </c>
      <c r="T26" s="207">
        <f>Data!DQ24/T$2*100000</f>
        <v>8.1905448350424273</v>
      </c>
      <c r="U26" s="207">
        <f>Data!DR24/U$2*100000</f>
        <v>8.113919428780072</v>
      </c>
      <c r="V26" s="207">
        <f>Data!BR24/V$2*100000</f>
        <v>1.212525000350994</v>
      </c>
      <c r="W26" s="192"/>
    </row>
    <row r="27" spans="1:23" ht="12" customHeight="1">
      <c r="A27" s="192"/>
      <c r="B27" s="187" t="str">
        <f>UPPER(LEFT(TRIM(Data!B25),1)) &amp; MID(TRIM(Data!B25),2,50)</f>
        <v>Gimdos kaklelio</v>
      </c>
      <c r="C27" s="188" t="str">
        <f>Data!C25</f>
        <v>C53</v>
      </c>
      <c r="D27" s="209">
        <f>Data!DA25/D$2*100000</f>
        <v>0</v>
      </c>
      <c r="E27" s="209">
        <f>Data!DB25/E$2*100000</f>
        <v>0</v>
      </c>
      <c r="F27" s="209">
        <f>Data!DC25/F$2*100000</f>
        <v>0</v>
      </c>
      <c r="G27" s="209">
        <f>Data!DD25/G$2*100000</f>
        <v>0</v>
      </c>
      <c r="H27" s="209">
        <f>Data!DE25/H$2*100000</f>
        <v>0</v>
      </c>
      <c r="I27" s="209">
        <f>Data!DF25/I$2*100000</f>
        <v>0</v>
      </c>
      <c r="J27" s="209">
        <f>Data!DG25/J$2*100000</f>
        <v>1.1391857100544531</v>
      </c>
      <c r="K27" s="209">
        <f>Data!DH25/K$2*100000</f>
        <v>6.7269853015371153</v>
      </c>
      <c r="L27" s="209">
        <f>Data!DI25/L$2*100000</f>
        <v>17.584822344447595</v>
      </c>
      <c r="M27" s="209">
        <f>Data!DJ25/M$2*100000</f>
        <v>14.701693451314423</v>
      </c>
      <c r="N27" s="209">
        <f>Data!DK25/N$2*100000</f>
        <v>20.928207875703187</v>
      </c>
      <c r="O27" s="209">
        <f>Data!DL25/O$2*100000</f>
        <v>19.678639264874484</v>
      </c>
      <c r="P27" s="209">
        <f>Data!DM25/P$2*100000</f>
        <v>28.63483427589663</v>
      </c>
      <c r="Q27" s="209">
        <f>Data!DN25/Q$2*100000</f>
        <v>23.858756163512009</v>
      </c>
      <c r="R27" s="209">
        <f>Data!DO25/R$2*100000</f>
        <v>16.624511654970135</v>
      </c>
      <c r="S27" s="209">
        <f>Data!DP25/S$2*100000</f>
        <v>23.45273656405066</v>
      </c>
      <c r="T27" s="209">
        <f>Data!DQ25/T$2*100000</f>
        <v>29.48596140615274</v>
      </c>
      <c r="U27" s="209">
        <f>Data!DR25/U$2*100000</f>
        <v>36.51263742951032</v>
      </c>
      <c r="V27" s="209">
        <f>Data!BR25/V$2*100000</f>
        <v>13.210140793297674</v>
      </c>
      <c r="W27" s="192"/>
    </row>
    <row r="28" spans="1:23" ht="12" customHeight="1">
      <c r="A28" s="192"/>
      <c r="B28" s="201" t="str">
        <f>UPPER(LEFT(TRIM(Data!B26),1)) &amp; MID(TRIM(Data!B26),2,50)</f>
        <v>Gimdos kūno</v>
      </c>
      <c r="C28" s="202" t="str">
        <f>Data!C26</f>
        <v>C54, C55</v>
      </c>
      <c r="D28" s="207">
        <f>Data!DA26/D$2*100000</f>
        <v>0</v>
      </c>
      <c r="E28" s="207">
        <f>Data!DB26/E$2*100000</f>
        <v>0</v>
      </c>
      <c r="F28" s="207">
        <f>Data!DC26/F$2*100000</f>
        <v>0</v>
      </c>
      <c r="G28" s="207">
        <f>Data!DD26/G$2*100000</f>
        <v>0</v>
      </c>
      <c r="H28" s="207">
        <f>Data!DE26/H$2*100000</f>
        <v>0</v>
      </c>
      <c r="I28" s="207">
        <f>Data!DF26/I$2*100000</f>
        <v>1.0510384259648533</v>
      </c>
      <c r="J28" s="207">
        <f>Data!DG26/J$2*100000</f>
        <v>0</v>
      </c>
      <c r="K28" s="207">
        <f>Data!DH26/K$2*100000</f>
        <v>0</v>
      </c>
      <c r="L28" s="207">
        <f>Data!DI26/L$2*100000</f>
        <v>0.976934574691533</v>
      </c>
      <c r="M28" s="207">
        <f>Data!DJ26/M$2*100000</f>
        <v>0.91885584070715143</v>
      </c>
      <c r="N28" s="207">
        <f>Data!DK26/N$2*100000</f>
        <v>3.3485132601125103</v>
      </c>
      <c r="O28" s="207">
        <f>Data!DL26/O$2*100000</f>
        <v>8.5559301151628198</v>
      </c>
      <c r="P28" s="207">
        <f>Data!DM26/P$2*100000</f>
        <v>17.385435096080094</v>
      </c>
      <c r="Q28" s="207">
        <f>Data!DN26/Q$2*100000</f>
        <v>27.267149901156586</v>
      </c>
      <c r="R28" s="207">
        <f>Data!DO26/R$2*100000</f>
        <v>28.49916283709166</v>
      </c>
      <c r="S28" s="207">
        <f>Data!DP26/S$2*100000</f>
        <v>27.155800232058656</v>
      </c>
      <c r="T28" s="207">
        <f>Data!DQ26/T$2*100000</f>
        <v>52.41948694427154</v>
      </c>
      <c r="U28" s="207">
        <f>Data!DR26/U$2*100000</f>
        <v>34.484157572315304</v>
      </c>
      <c r="V28" s="207">
        <f>Data!BR26/V$2*100000</f>
        <v>9.7640171080895843</v>
      </c>
      <c r="W28" s="192"/>
    </row>
    <row r="29" spans="1:23" ht="12" customHeight="1">
      <c r="A29" s="192"/>
      <c r="B29" s="187" t="str">
        <f>UPPER(LEFT(TRIM(Data!B27),1)) &amp; MID(TRIM(Data!B27),2,50)</f>
        <v>Kiaušidžių</v>
      </c>
      <c r="C29" s="188" t="str">
        <f>Data!C27</f>
        <v>C56</v>
      </c>
      <c r="D29" s="209">
        <f>Data!DA27/D$2*100000</f>
        <v>0</v>
      </c>
      <c r="E29" s="209">
        <f>Data!DB27/E$2*100000</f>
        <v>0</v>
      </c>
      <c r="F29" s="209">
        <f>Data!DC27/F$2*100000</f>
        <v>0</v>
      </c>
      <c r="G29" s="209">
        <f>Data!DD27/G$2*100000</f>
        <v>0</v>
      </c>
      <c r="H29" s="209">
        <f>Data!DE27/H$2*100000</f>
        <v>1.0197838058331634</v>
      </c>
      <c r="I29" s="209">
        <f>Data!DF27/I$2*100000</f>
        <v>0</v>
      </c>
      <c r="J29" s="209">
        <f>Data!DG27/J$2*100000</f>
        <v>1.1391857100544531</v>
      </c>
      <c r="K29" s="209">
        <f>Data!DH27/K$2*100000</f>
        <v>3.3634926507685576</v>
      </c>
      <c r="L29" s="209">
        <f>Data!DI27/L$2*100000</f>
        <v>6.8385420228407305</v>
      </c>
      <c r="M29" s="209">
        <f>Data!DJ27/M$2*100000</f>
        <v>11.945125929192969</v>
      </c>
      <c r="N29" s="209">
        <f>Data!DK27/N$2*100000</f>
        <v>20.928207875703187</v>
      </c>
      <c r="O29" s="209">
        <f>Data!DL27/O$2*100000</f>
        <v>22.245418299423331</v>
      </c>
      <c r="P29" s="209">
        <f>Data!DM27/P$2*100000</f>
        <v>27.612161623186037</v>
      </c>
      <c r="Q29" s="209">
        <f>Data!DN27/Q$2*100000</f>
        <v>32.947806130564203</v>
      </c>
      <c r="R29" s="209">
        <f>Data!DO27/R$2*100000</f>
        <v>45.123674492061795</v>
      </c>
      <c r="S29" s="209">
        <f>Data!DP27/S$2*100000</f>
        <v>53.077245908114648</v>
      </c>
      <c r="T29" s="209">
        <f>Data!DQ27/T$2*100000</f>
        <v>62.248140746322441</v>
      </c>
      <c r="U29" s="209">
        <f>Data!DR27/U$2*100000</f>
        <v>54.768956144265495</v>
      </c>
      <c r="V29" s="209">
        <f>Data!BR27/V$2*100000</f>
        <v>17.74115526829349</v>
      </c>
      <c r="W29" s="192"/>
    </row>
    <row r="30" spans="1:23" ht="12" customHeight="1">
      <c r="A30" s="192"/>
      <c r="B30" s="201" t="str">
        <f>UPPER(LEFT(TRIM(Data!B30),1)) &amp; MID(TRIM(Data!B30),2,50)</f>
        <v>Kitų lyties organų</v>
      </c>
      <c r="C30" s="202" t="s">
        <v>418</v>
      </c>
      <c r="D30" s="207">
        <f>Data!DA30/D$2*100000</f>
        <v>0</v>
      </c>
      <c r="E30" s="207">
        <f>Data!DB30/E$2*100000</f>
        <v>0</v>
      </c>
      <c r="F30" s="207">
        <f>Data!DC30/F$2*100000</f>
        <v>0</v>
      </c>
      <c r="G30" s="207">
        <f>Data!DD30/G$2*100000</f>
        <v>0</v>
      </c>
      <c r="H30" s="207">
        <f>Data!DE30/H$2*100000</f>
        <v>0</v>
      </c>
      <c r="I30" s="207">
        <f>Data!DF30/I$2*100000</f>
        <v>0</v>
      </c>
      <c r="J30" s="207">
        <f>Data!DG30/J$2*100000</f>
        <v>0</v>
      </c>
      <c r="K30" s="207">
        <f>Data!DH30/K$2*100000</f>
        <v>0</v>
      </c>
      <c r="L30" s="207">
        <f>Data!DI30/L$2*100000</f>
        <v>0</v>
      </c>
      <c r="M30" s="207">
        <f>Data!DJ30/M$2*100000</f>
        <v>0.91885584070715143</v>
      </c>
      <c r="N30" s="207">
        <f>Data!DK30/N$2*100000</f>
        <v>0</v>
      </c>
      <c r="O30" s="207">
        <f>Data!DL30/O$2*100000</f>
        <v>0</v>
      </c>
      <c r="P30" s="207">
        <f>Data!DM30/P$2*100000</f>
        <v>2.0453453054211876</v>
      </c>
      <c r="Q30" s="207">
        <f>Data!DN30/Q$2*100000</f>
        <v>2.2722624917630485</v>
      </c>
      <c r="R30" s="207">
        <f>Data!DO30/R$2*100000</f>
        <v>3.5623953546364575</v>
      </c>
      <c r="S30" s="207">
        <f>Data!DP30/S$2*100000</f>
        <v>3.7030636680079985</v>
      </c>
      <c r="T30" s="207">
        <f>Data!DQ30/T$2*100000</f>
        <v>9.828653802050912</v>
      </c>
      <c r="U30" s="207">
        <f>Data!DR30/U$2*100000</f>
        <v>12.170879143170108</v>
      </c>
      <c r="V30" s="207">
        <f>Data!BR30/V$2*100000</f>
        <v>1.4677934214775192</v>
      </c>
      <c r="W30" s="192"/>
    </row>
    <row r="31" spans="1:23" ht="12" customHeight="1">
      <c r="A31" s="192"/>
      <c r="B31" s="187" t="str">
        <f>UPPER(LEFT(TRIM(Data!B31),1)) &amp; MID(TRIM(Data!B31),2,50)</f>
        <v>Inkstų</v>
      </c>
      <c r="C31" s="188" t="str">
        <f>Data!C31</f>
        <v>C64</v>
      </c>
      <c r="D31" s="209">
        <f>Data!DA31/D$2*100000</f>
        <v>0</v>
      </c>
      <c r="E31" s="209">
        <f>Data!DB31/E$2*100000</f>
        <v>0</v>
      </c>
      <c r="F31" s="209">
        <f>Data!DC31/F$2*100000</f>
        <v>0</v>
      </c>
      <c r="G31" s="209">
        <f>Data!DD31/G$2*100000</f>
        <v>0</v>
      </c>
      <c r="H31" s="209">
        <f>Data!DE31/H$2*100000</f>
        <v>0</v>
      </c>
      <c r="I31" s="209">
        <f>Data!DF31/I$2*100000</f>
        <v>0</v>
      </c>
      <c r="J31" s="209">
        <f>Data!DG31/J$2*100000</f>
        <v>0</v>
      </c>
      <c r="K31" s="209">
        <f>Data!DH31/K$2*100000</f>
        <v>1.1211642169228526</v>
      </c>
      <c r="L31" s="209">
        <f>Data!DI31/L$2*100000</f>
        <v>0</v>
      </c>
      <c r="M31" s="209">
        <f>Data!DJ31/M$2*100000</f>
        <v>2.7565675221214545</v>
      </c>
      <c r="N31" s="209">
        <f>Data!DK31/N$2*100000</f>
        <v>0.83712831502812757</v>
      </c>
      <c r="O31" s="209">
        <f>Data!DL31/O$2*100000</f>
        <v>2.5667790345488455</v>
      </c>
      <c r="P31" s="209">
        <f>Data!DM31/P$2*100000</f>
        <v>9.2040538743953455</v>
      </c>
      <c r="Q31" s="209">
        <f>Data!DN31/Q$2*100000</f>
        <v>21.586493671748961</v>
      </c>
      <c r="R31" s="209">
        <f>Data!DO31/R$2*100000</f>
        <v>11.874651182121525</v>
      </c>
      <c r="S31" s="209">
        <f>Data!DP31/S$2*100000</f>
        <v>33.327573012071987</v>
      </c>
      <c r="T31" s="209">
        <f>Data!DQ31/T$2*100000</f>
        <v>36.038397274186678</v>
      </c>
      <c r="U31" s="209">
        <f>Data!DR31/U$2*100000</f>
        <v>24.341758286340216</v>
      </c>
      <c r="V31" s="209">
        <f>Data!BR31/V$2*100000</f>
        <v>6.8284302651345454</v>
      </c>
      <c r="W31" s="192"/>
    </row>
    <row r="32" spans="1:23" ht="12" customHeight="1">
      <c r="A32" s="192"/>
      <c r="B32" s="201" t="str">
        <f>UPPER(LEFT(TRIM(Data!B32),1)) &amp; MID(TRIM(Data!B32),2,50)</f>
        <v>Šlapimo pūslės</v>
      </c>
      <c r="C32" s="202" t="str">
        <f>Data!C32</f>
        <v>C67</v>
      </c>
      <c r="D32" s="207">
        <f>Data!DA32/D$2*100000</f>
        <v>0</v>
      </c>
      <c r="E32" s="207">
        <f>Data!DB32/E$2*100000</f>
        <v>0</v>
      </c>
      <c r="F32" s="207">
        <f>Data!DC32/F$2*100000</f>
        <v>0</v>
      </c>
      <c r="G32" s="207">
        <f>Data!DD32/G$2*100000</f>
        <v>0</v>
      </c>
      <c r="H32" s="207">
        <f>Data!DE32/H$2*100000</f>
        <v>0</v>
      </c>
      <c r="I32" s="207">
        <f>Data!DF32/I$2*100000</f>
        <v>0</v>
      </c>
      <c r="J32" s="207">
        <f>Data!DG32/J$2*100000</f>
        <v>0</v>
      </c>
      <c r="K32" s="207">
        <f>Data!DH32/K$2*100000</f>
        <v>0</v>
      </c>
      <c r="L32" s="207">
        <f>Data!DI32/L$2*100000</f>
        <v>0</v>
      </c>
      <c r="M32" s="207">
        <f>Data!DJ32/M$2*100000</f>
        <v>0.91885584070715143</v>
      </c>
      <c r="N32" s="207">
        <f>Data!DK32/N$2*100000</f>
        <v>0.83712831502812757</v>
      </c>
      <c r="O32" s="207">
        <f>Data!DL32/O$2*100000</f>
        <v>0</v>
      </c>
      <c r="P32" s="207">
        <f>Data!DM32/P$2*100000</f>
        <v>3.0680179581317817</v>
      </c>
      <c r="Q32" s="207">
        <f>Data!DN32/Q$2*100000</f>
        <v>2.2722624917630485</v>
      </c>
      <c r="R32" s="207">
        <f>Data!DO32/R$2*100000</f>
        <v>4.74986047284861</v>
      </c>
      <c r="S32" s="207">
        <f>Data!DP32/S$2*100000</f>
        <v>8.6404818920186628</v>
      </c>
      <c r="T32" s="207">
        <f>Data!DQ32/T$2*100000</f>
        <v>24.571634505127282</v>
      </c>
      <c r="U32" s="207">
        <f>Data!DR32/U$2*100000</f>
        <v>40.56959714390036</v>
      </c>
      <c r="V32" s="207">
        <f>Data!BR32/V$2*100000</f>
        <v>3.3823065799264573</v>
      </c>
      <c r="W32" s="192"/>
    </row>
    <row r="33" spans="1:23" ht="12" customHeight="1">
      <c r="A33" s="192"/>
      <c r="B33" s="187" t="str">
        <f>UPPER(LEFT(TRIM(Data!B33),1)) &amp; MID(TRIM(Data!B33),2,50)</f>
        <v>Kitų šlapimą išskiriančių organų</v>
      </c>
      <c r="C33" s="188" t="str">
        <f>Data!C33</f>
        <v>C65, C66, C68</v>
      </c>
      <c r="D33" s="209">
        <f>Data!DA33/D$2*100000</f>
        <v>0</v>
      </c>
      <c r="E33" s="209">
        <f>Data!DB33/E$2*100000</f>
        <v>0</v>
      </c>
      <c r="F33" s="209">
        <f>Data!DC33/F$2*100000</f>
        <v>0</v>
      </c>
      <c r="G33" s="209">
        <f>Data!DD33/G$2*100000</f>
        <v>0</v>
      </c>
      <c r="H33" s="209">
        <f>Data!DE33/H$2*100000</f>
        <v>0</v>
      </c>
      <c r="I33" s="209">
        <f>Data!DF33/I$2*100000</f>
        <v>0</v>
      </c>
      <c r="J33" s="209">
        <f>Data!DG33/J$2*100000</f>
        <v>0</v>
      </c>
      <c r="K33" s="209">
        <f>Data!DH33/K$2*100000</f>
        <v>0</v>
      </c>
      <c r="L33" s="209">
        <f>Data!DI33/L$2*100000</f>
        <v>0.976934574691533</v>
      </c>
      <c r="M33" s="209">
        <f>Data!DJ33/M$2*100000</f>
        <v>0</v>
      </c>
      <c r="N33" s="209">
        <f>Data!DK33/N$2*100000</f>
        <v>0</v>
      </c>
      <c r="O33" s="209">
        <f>Data!DL33/O$2*100000</f>
        <v>0.85559301151628186</v>
      </c>
      <c r="P33" s="209">
        <f>Data!DM33/P$2*100000</f>
        <v>1.0226726527105938</v>
      </c>
      <c r="Q33" s="209">
        <f>Data!DN33/Q$2*100000</f>
        <v>1.1361312458815243</v>
      </c>
      <c r="R33" s="209">
        <f>Data!DO33/R$2*100000</f>
        <v>1.1874651182121525</v>
      </c>
      <c r="S33" s="209">
        <f>Data!DP33/S$2*100000</f>
        <v>7.4061273360159969</v>
      </c>
      <c r="T33" s="209">
        <f>Data!DQ33/T$2*100000</f>
        <v>6.5524358680339425</v>
      </c>
      <c r="U33" s="209">
        <f>Data!DR33/U$2*100000</f>
        <v>2.028479857195018</v>
      </c>
      <c r="V33" s="209">
        <f>Data!BR33/V$2*100000</f>
        <v>1.0210736845061001</v>
      </c>
      <c r="W33" s="192"/>
    </row>
    <row r="34" spans="1:23" ht="12" customHeight="1">
      <c r="A34" s="192"/>
      <c r="B34" s="201" t="str">
        <f>UPPER(LEFT(TRIM(Data!B34),1)) &amp; MID(TRIM(Data!B34),2,50)</f>
        <v>Akių</v>
      </c>
      <c r="C34" s="202" t="str">
        <f>Data!C34</f>
        <v>C69</v>
      </c>
      <c r="D34" s="207">
        <f>Data!DA34/D$2*100000</f>
        <v>0</v>
      </c>
      <c r="E34" s="207">
        <f>Data!DB34/E$2*100000</f>
        <v>0</v>
      </c>
      <c r="F34" s="207">
        <f>Data!DC34/F$2*100000</f>
        <v>0</v>
      </c>
      <c r="G34" s="207">
        <f>Data!DD34/G$2*100000</f>
        <v>0</v>
      </c>
      <c r="H34" s="207">
        <f>Data!DE34/H$2*100000</f>
        <v>0</v>
      </c>
      <c r="I34" s="207">
        <f>Data!DF34/I$2*100000</f>
        <v>0</v>
      </c>
      <c r="J34" s="207">
        <f>Data!DG34/J$2*100000</f>
        <v>0</v>
      </c>
      <c r="K34" s="207">
        <f>Data!DH34/K$2*100000</f>
        <v>0</v>
      </c>
      <c r="L34" s="207">
        <f>Data!DI34/L$2*100000</f>
        <v>0.976934574691533</v>
      </c>
      <c r="M34" s="207">
        <f>Data!DJ34/M$2*100000</f>
        <v>0</v>
      </c>
      <c r="N34" s="207">
        <f>Data!DK34/N$2*100000</f>
        <v>1.6742566300562551</v>
      </c>
      <c r="O34" s="207">
        <f>Data!DL34/O$2*100000</f>
        <v>0</v>
      </c>
      <c r="P34" s="207">
        <f>Data!DM34/P$2*100000</f>
        <v>0</v>
      </c>
      <c r="Q34" s="207">
        <f>Data!DN34/Q$2*100000</f>
        <v>0</v>
      </c>
      <c r="R34" s="207">
        <f>Data!DO34/R$2*100000</f>
        <v>1.1874651182121525</v>
      </c>
      <c r="S34" s="207">
        <f>Data!DP34/S$2*100000</f>
        <v>0</v>
      </c>
      <c r="T34" s="207">
        <f>Data!DQ34/T$2*100000</f>
        <v>3.2762179340169713</v>
      </c>
      <c r="U34" s="207">
        <f>Data!DR34/U$2*100000</f>
        <v>2.028479857195018</v>
      </c>
      <c r="V34" s="207">
        <f>Data!BR34/V$2*100000</f>
        <v>0.44671973697141887</v>
      </c>
      <c r="W34" s="192"/>
    </row>
    <row r="35" spans="1:23" ht="12" customHeight="1">
      <c r="A35" s="192"/>
      <c r="B35" s="187" t="str">
        <f>UPPER(LEFT(TRIM(Data!B35),1)) &amp; MID(TRIM(Data!B35),2,50)</f>
        <v>Smegenų</v>
      </c>
      <c r="C35" s="188" t="str">
        <f>Data!C35</f>
        <v>C70-C72</v>
      </c>
      <c r="D35" s="209">
        <f>Data!DA35/D$2*100000</f>
        <v>1.3591942696369592</v>
      </c>
      <c r="E35" s="209">
        <f>Data!DB35/E$2*100000</f>
        <v>2.9363401456424714</v>
      </c>
      <c r="F35" s="209">
        <f>Data!DC35/F$2*100000</f>
        <v>1.5291922806373675</v>
      </c>
      <c r="G35" s="209">
        <f>Data!DD35/G$2*100000</f>
        <v>0</v>
      </c>
      <c r="H35" s="209">
        <f>Data!DE35/H$2*100000</f>
        <v>0</v>
      </c>
      <c r="I35" s="209">
        <f>Data!DF35/I$2*100000</f>
        <v>1.0510384259648533</v>
      </c>
      <c r="J35" s="209">
        <f>Data!DG35/J$2*100000</f>
        <v>3.4175571301633596</v>
      </c>
      <c r="K35" s="209">
        <f>Data!DH35/K$2*100000</f>
        <v>1.1211642169228526</v>
      </c>
      <c r="L35" s="209">
        <f>Data!DI35/L$2*100000</f>
        <v>3.907738298766132</v>
      </c>
      <c r="M35" s="209">
        <f>Data!DJ35/M$2*100000</f>
        <v>4.5942792035357574</v>
      </c>
      <c r="N35" s="209">
        <f>Data!DK35/N$2*100000</f>
        <v>4.1856415751406368</v>
      </c>
      <c r="O35" s="209">
        <f>Data!DL35/O$2*100000</f>
        <v>11.978302161227948</v>
      </c>
      <c r="P35" s="209">
        <f>Data!DM35/P$2*100000</f>
        <v>8.1813812216847506</v>
      </c>
      <c r="Q35" s="209">
        <f>Data!DN35/Q$2*100000</f>
        <v>30.675543638801152</v>
      </c>
      <c r="R35" s="209">
        <f>Data!DO35/R$2*100000</f>
        <v>17.811976773182288</v>
      </c>
      <c r="S35" s="209">
        <f>Data!DP35/S$2*100000</f>
        <v>18.515318340039993</v>
      </c>
      <c r="T35" s="209">
        <f>Data!DQ35/T$2*100000</f>
        <v>21.295416571110309</v>
      </c>
      <c r="U35" s="209">
        <f>Data!DR35/U$2*100000</f>
        <v>24.341758286340216</v>
      </c>
      <c r="V35" s="209">
        <f>Data!BR35/V$2*100000</f>
        <v>8.1047723707671704</v>
      </c>
      <c r="W35" s="192"/>
    </row>
    <row r="36" spans="1:23" ht="12" customHeight="1">
      <c r="A36" s="192"/>
      <c r="B36" s="201" t="str">
        <f>UPPER(LEFT(TRIM(Data!B36),1)) &amp; MID(TRIM(Data!B36),2,50)</f>
        <v>Skydliaukės</v>
      </c>
      <c r="C36" s="202" t="str">
        <f>Data!C36</f>
        <v>C73</v>
      </c>
      <c r="D36" s="207">
        <f>Data!DA36/D$2*100000</f>
        <v>0</v>
      </c>
      <c r="E36" s="207">
        <f>Data!DB36/E$2*100000</f>
        <v>0</v>
      </c>
      <c r="F36" s="207">
        <f>Data!DC36/F$2*100000</f>
        <v>0</v>
      </c>
      <c r="G36" s="207">
        <f>Data!DD36/G$2*100000</f>
        <v>0</v>
      </c>
      <c r="H36" s="207">
        <f>Data!DE36/H$2*100000</f>
        <v>0</v>
      </c>
      <c r="I36" s="207">
        <f>Data!DF36/I$2*100000</f>
        <v>0</v>
      </c>
      <c r="J36" s="207">
        <f>Data!DG36/J$2*100000</f>
        <v>0</v>
      </c>
      <c r="K36" s="207">
        <f>Data!DH36/K$2*100000</f>
        <v>0</v>
      </c>
      <c r="L36" s="207">
        <f>Data!DI36/L$2*100000</f>
        <v>0</v>
      </c>
      <c r="M36" s="207">
        <f>Data!DJ36/M$2*100000</f>
        <v>0</v>
      </c>
      <c r="N36" s="207">
        <f>Data!DK36/N$2*100000</f>
        <v>0</v>
      </c>
      <c r="O36" s="207">
        <f>Data!DL36/O$2*100000</f>
        <v>0</v>
      </c>
      <c r="P36" s="207">
        <f>Data!DM36/P$2*100000</f>
        <v>2.0453453054211876</v>
      </c>
      <c r="Q36" s="207">
        <f>Data!DN36/Q$2*100000</f>
        <v>2.2722624917630485</v>
      </c>
      <c r="R36" s="207">
        <f>Data!DO36/R$2*100000</f>
        <v>2.374930236424305</v>
      </c>
      <c r="S36" s="207">
        <f>Data!DP36/S$2*100000</f>
        <v>6.171772780013332</v>
      </c>
      <c r="T36" s="207">
        <f>Data!DQ36/T$2*100000</f>
        <v>14.74298070307637</v>
      </c>
      <c r="U36" s="207">
        <f>Data!DR36/U$2*100000</f>
        <v>4.056959714390036</v>
      </c>
      <c r="V36" s="207">
        <f>Data!BR36/V$2*100000</f>
        <v>1.4039763161958878</v>
      </c>
      <c r="W36" s="192"/>
    </row>
    <row r="37" spans="1:23" ht="12" customHeight="1">
      <c r="A37" s="192"/>
      <c r="B37" s="187" t="str">
        <f>UPPER(LEFT(TRIM(Data!B37),1)) &amp; MID(TRIM(Data!B37),2,50)</f>
        <v>Kitų endokrininių liaukų</v>
      </c>
      <c r="C37" s="188" t="str">
        <f>Data!C37</f>
        <v>C74-C75</v>
      </c>
      <c r="D37" s="209">
        <f>Data!DA37/D$2*100000</f>
        <v>0</v>
      </c>
      <c r="E37" s="209">
        <f>Data!DB37/E$2*100000</f>
        <v>0</v>
      </c>
      <c r="F37" s="209">
        <f>Data!DC37/F$2*100000</f>
        <v>0</v>
      </c>
      <c r="G37" s="209">
        <f>Data!DD37/G$2*100000</f>
        <v>0</v>
      </c>
      <c r="H37" s="209">
        <f>Data!DE37/H$2*100000</f>
        <v>0</v>
      </c>
      <c r="I37" s="209">
        <f>Data!DF37/I$2*100000</f>
        <v>0</v>
      </c>
      <c r="J37" s="209">
        <f>Data!DG37/J$2*100000</f>
        <v>0</v>
      </c>
      <c r="K37" s="209">
        <f>Data!DH37/K$2*100000</f>
        <v>0</v>
      </c>
      <c r="L37" s="209">
        <f>Data!DI37/L$2*100000</f>
        <v>0.976934574691533</v>
      </c>
      <c r="M37" s="209">
        <f>Data!DJ37/M$2*100000</f>
        <v>0</v>
      </c>
      <c r="N37" s="209">
        <f>Data!DK37/N$2*100000</f>
        <v>0</v>
      </c>
      <c r="O37" s="209">
        <f>Data!DL37/O$2*100000</f>
        <v>0.85559301151628186</v>
      </c>
      <c r="P37" s="209">
        <f>Data!DM37/P$2*100000</f>
        <v>0</v>
      </c>
      <c r="Q37" s="209">
        <f>Data!DN37/Q$2*100000</f>
        <v>0</v>
      </c>
      <c r="R37" s="209">
        <f>Data!DO37/R$2*100000</f>
        <v>0</v>
      </c>
      <c r="S37" s="209">
        <f>Data!DP37/S$2*100000</f>
        <v>0</v>
      </c>
      <c r="T37" s="209">
        <f>Data!DQ37/T$2*100000</f>
        <v>1.6381089670084856</v>
      </c>
      <c r="U37" s="209">
        <f>Data!DR37/U$2*100000</f>
        <v>0</v>
      </c>
      <c r="V37" s="209">
        <f>Data!BR37/V$2*100000</f>
        <v>0.19145131584489383</v>
      </c>
      <c r="W37" s="192"/>
    </row>
    <row r="38" spans="1:23" ht="12" customHeight="1">
      <c r="A38" s="192"/>
      <c r="B38" s="201" t="str">
        <f>UPPER(LEFT(TRIM(Data!B38),1)) &amp; MID(TRIM(Data!B38),2,50)</f>
        <v>Nepatikslintos lokalizacijos</v>
      </c>
      <c r="C38" s="202" t="str">
        <f>Data!C38</f>
        <v>C76-C80</v>
      </c>
      <c r="D38" s="207">
        <f>Data!DA38/D$2*100000</f>
        <v>0</v>
      </c>
      <c r="E38" s="207">
        <f>Data!DB38/E$2*100000</f>
        <v>0</v>
      </c>
      <c r="F38" s="207">
        <f>Data!DC38/F$2*100000</f>
        <v>0</v>
      </c>
      <c r="G38" s="207">
        <f>Data!DD38/G$2*100000</f>
        <v>0</v>
      </c>
      <c r="H38" s="207">
        <f>Data!DE38/H$2*100000</f>
        <v>0</v>
      </c>
      <c r="I38" s="207">
        <f>Data!DF38/I$2*100000</f>
        <v>0</v>
      </c>
      <c r="J38" s="207">
        <f>Data!DG38/J$2*100000</f>
        <v>1.1391857100544531</v>
      </c>
      <c r="K38" s="207">
        <f>Data!DH38/K$2*100000</f>
        <v>0</v>
      </c>
      <c r="L38" s="207">
        <f>Data!DI38/L$2*100000</f>
        <v>2.9308037240745985</v>
      </c>
      <c r="M38" s="207">
        <f>Data!DJ38/M$2*100000</f>
        <v>2.7565675221214545</v>
      </c>
      <c r="N38" s="207">
        <f>Data!DK38/N$2*100000</f>
        <v>3.3485132601125103</v>
      </c>
      <c r="O38" s="207">
        <f>Data!DL38/O$2*100000</f>
        <v>5.9891510806139738</v>
      </c>
      <c r="P38" s="207">
        <f>Data!DM38/P$2*100000</f>
        <v>14.317417137948315</v>
      </c>
      <c r="Q38" s="207">
        <f>Data!DN38/Q$2*100000</f>
        <v>13.633574950578293</v>
      </c>
      <c r="R38" s="207">
        <f>Data!DO38/R$2*100000</f>
        <v>30.874093073515969</v>
      </c>
      <c r="S38" s="207">
        <f>Data!DP38/S$2*100000</f>
        <v>45.671118572098649</v>
      </c>
      <c r="T38" s="207">
        <f>Data!DQ38/T$2*100000</f>
        <v>73.714903515381849</v>
      </c>
      <c r="U38" s="207">
        <f>Data!DR38/U$2*100000</f>
        <v>85.196154002190752</v>
      </c>
      <c r="V38" s="207">
        <f>Data!BR38/V$2*100000</f>
        <v>12.380518424636467</v>
      </c>
      <c r="W38" s="192"/>
    </row>
    <row r="39" spans="1:23" ht="12" customHeight="1">
      <c r="A39" s="192"/>
      <c r="B39" s="187" t="str">
        <f>UPPER(LEFT(TRIM(Data!B39),1)) &amp; MID(TRIM(Data!B39),2,50)</f>
        <v>Hodžkino limfomos</v>
      </c>
      <c r="C39" s="188" t="str">
        <f>Data!C39</f>
        <v>C81</v>
      </c>
      <c r="D39" s="209">
        <f>Data!DA39/D$2*100000</f>
        <v>0</v>
      </c>
      <c r="E39" s="209">
        <f>Data!DB39/E$2*100000</f>
        <v>0</v>
      </c>
      <c r="F39" s="209">
        <f>Data!DC39/F$2*100000</f>
        <v>0</v>
      </c>
      <c r="G39" s="209">
        <f>Data!DD39/G$2*100000</f>
        <v>0</v>
      </c>
      <c r="H39" s="209">
        <f>Data!DE39/H$2*100000</f>
        <v>0</v>
      </c>
      <c r="I39" s="209">
        <f>Data!DF39/I$2*100000</f>
        <v>0</v>
      </c>
      <c r="J39" s="209">
        <f>Data!DG39/J$2*100000</f>
        <v>1.1391857100544531</v>
      </c>
      <c r="K39" s="209">
        <f>Data!DH39/K$2*100000</f>
        <v>0</v>
      </c>
      <c r="L39" s="209">
        <f>Data!DI39/L$2*100000</f>
        <v>1.953869149383066</v>
      </c>
      <c r="M39" s="209">
        <f>Data!DJ39/M$2*100000</f>
        <v>0.91885584070715143</v>
      </c>
      <c r="N39" s="209">
        <f>Data!DK39/N$2*100000</f>
        <v>0</v>
      </c>
      <c r="O39" s="209">
        <f>Data!DL39/O$2*100000</f>
        <v>0</v>
      </c>
      <c r="P39" s="209">
        <f>Data!DM39/P$2*100000</f>
        <v>1.0226726527105938</v>
      </c>
      <c r="Q39" s="209">
        <f>Data!DN39/Q$2*100000</f>
        <v>0</v>
      </c>
      <c r="R39" s="209">
        <f>Data!DO39/R$2*100000</f>
        <v>1.1874651182121525</v>
      </c>
      <c r="S39" s="209">
        <f>Data!DP39/S$2*100000</f>
        <v>0</v>
      </c>
      <c r="T39" s="209">
        <f>Data!DQ39/T$2*100000</f>
        <v>0</v>
      </c>
      <c r="U39" s="209">
        <f>Data!DR39/U$2*100000</f>
        <v>4.056959714390036</v>
      </c>
      <c r="V39" s="209">
        <f>Data!BR39/V$2*100000</f>
        <v>0.51053684225305007</v>
      </c>
      <c r="W39" s="192"/>
    </row>
    <row r="40" spans="1:23" ht="12" customHeight="1">
      <c r="A40" s="192"/>
      <c r="B40" s="201" t="str">
        <f>UPPER(LEFT(TRIM(Data!B40),1)) &amp; MID(TRIM(Data!B40),2,50)</f>
        <v>Ne Hodžkino limfomos</v>
      </c>
      <c r="C40" s="202" t="str">
        <f>Data!C40</f>
        <v>C82-C85</v>
      </c>
      <c r="D40" s="207">
        <f>Data!DA40/D$2*100000</f>
        <v>0</v>
      </c>
      <c r="E40" s="207">
        <f>Data!DB40/E$2*100000</f>
        <v>0</v>
      </c>
      <c r="F40" s="207">
        <f>Data!DC40/F$2*100000</f>
        <v>0</v>
      </c>
      <c r="G40" s="207">
        <f>Data!DD40/G$2*100000</f>
        <v>0</v>
      </c>
      <c r="H40" s="207">
        <f>Data!DE40/H$2*100000</f>
        <v>0</v>
      </c>
      <c r="I40" s="207">
        <f>Data!DF40/I$2*100000</f>
        <v>0</v>
      </c>
      <c r="J40" s="207">
        <f>Data!DG40/J$2*100000</f>
        <v>0</v>
      </c>
      <c r="K40" s="207">
        <f>Data!DH40/K$2*100000</f>
        <v>2.2423284338457052</v>
      </c>
      <c r="L40" s="207">
        <f>Data!DI40/L$2*100000</f>
        <v>0</v>
      </c>
      <c r="M40" s="207">
        <f>Data!DJ40/M$2*100000</f>
        <v>0</v>
      </c>
      <c r="N40" s="207">
        <f>Data!DK40/N$2*100000</f>
        <v>1.6742566300562551</v>
      </c>
      <c r="O40" s="207">
        <f>Data!DL40/O$2*100000</f>
        <v>2.5667790345488455</v>
      </c>
      <c r="P40" s="207">
        <f>Data!DM40/P$2*100000</f>
        <v>7.1587085689741574</v>
      </c>
      <c r="Q40" s="207">
        <f>Data!DN40/Q$2*100000</f>
        <v>5.6806562294076217</v>
      </c>
      <c r="R40" s="207">
        <f>Data!DO40/R$2*100000</f>
        <v>15.437046536757984</v>
      </c>
      <c r="S40" s="207">
        <f>Data!DP40/S$2*100000</f>
        <v>22.218382008047989</v>
      </c>
      <c r="T40" s="207">
        <f>Data!DQ40/T$2*100000</f>
        <v>44.228942109229102</v>
      </c>
      <c r="U40" s="207">
        <f>Data!DR40/U$2*100000</f>
        <v>34.484157572315304</v>
      </c>
      <c r="V40" s="207">
        <f>Data!BR40/V$2*100000</f>
        <v>5.9988078964733385</v>
      </c>
      <c r="W40" s="192"/>
    </row>
    <row r="41" spans="1:23" ht="12" customHeight="1">
      <c r="A41" s="192"/>
      <c r="B41" s="187" t="str">
        <f>UPPER(LEFT(TRIM(Data!B41),1)) &amp; MID(TRIM(Data!B41),2,50)</f>
        <v>Mielominės ligos</v>
      </c>
      <c r="C41" s="188" t="str">
        <f>Data!C41</f>
        <v>C90</v>
      </c>
      <c r="D41" s="209">
        <f>Data!DA41/D$2*100000</f>
        <v>0</v>
      </c>
      <c r="E41" s="209">
        <f>Data!DB41/E$2*100000</f>
        <v>0</v>
      </c>
      <c r="F41" s="209">
        <f>Data!DC41/F$2*100000</f>
        <v>0</v>
      </c>
      <c r="G41" s="209">
        <f>Data!DD41/G$2*100000</f>
        <v>0</v>
      </c>
      <c r="H41" s="209">
        <f>Data!DE41/H$2*100000</f>
        <v>0</v>
      </c>
      <c r="I41" s="209">
        <f>Data!DF41/I$2*100000</f>
        <v>0</v>
      </c>
      <c r="J41" s="209">
        <f>Data!DG41/J$2*100000</f>
        <v>0</v>
      </c>
      <c r="K41" s="209">
        <f>Data!DH41/K$2*100000</f>
        <v>0</v>
      </c>
      <c r="L41" s="209">
        <f>Data!DI41/L$2*100000</f>
        <v>0</v>
      </c>
      <c r="M41" s="209">
        <f>Data!DJ41/M$2*100000</f>
        <v>0</v>
      </c>
      <c r="N41" s="209">
        <f>Data!DK41/N$2*100000</f>
        <v>0</v>
      </c>
      <c r="O41" s="209">
        <f>Data!DL41/O$2*100000</f>
        <v>4.2779650575814099</v>
      </c>
      <c r="P41" s="209">
        <f>Data!DM41/P$2*100000</f>
        <v>6.1360359162635634</v>
      </c>
      <c r="Q41" s="209">
        <f>Data!DN41/Q$2*100000</f>
        <v>5.6806562294076217</v>
      </c>
      <c r="R41" s="209">
        <f>Data!DO41/R$2*100000</f>
        <v>21.374372127818745</v>
      </c>
      <c r="S41" s="209">
        <f>Data!DP41/S$2*100000</f>
        <v>17.280963784037326</v>
      </c>
      <c r="T41" s="209">
        <f>Data!DQ41/T$2*100000</f>
        <v>16.381089670084855</v>
      </c>
      <c r="U41" s="209">
        <f>Data!DR41/U$2*100000</f>
        <v>6.085439571585054</v>
      </c>
      <c r="V41" s="209">
        <f>Data!BR41/V$2*100000</f>
        <v>3.8928434221795074</v>
      </c>
      <c r="W41" s="192"/>
    </row>
    <row r="42" spans="1:23" ht="12" customHeight="1">
      <c r="A42" s="192"/>
      <c r="B42" s="201" t="str">
        <f>UPPER(LEFT(TRIM(Data!B42),1)) &amp; MID(TRIM(Data!B42),2,50)</f>
        <v>Leukemijos</v>
      </c>
      <c r="C42" s="202" t="str">
        <f>Data!C42</f>
        <v>C91-C95</v>
      </c>
      <c r="D42" s="207">
        <f>Data!DA42/D$2*100000</f>
        <v>1.3591942696369592</v>
      </c>
      <c r="E42" s="207">
        <f>Data!DB42/E$2*100000</f>
        <v>0</v>
      </c>
      <c r="F42" s="207">
        <f>Data!DC42/F$2*100000</f>
        <v>0</v>
      </c>
      <c r="G42" s="207">
        <f>Data!DD42/G$2*100000</f>
        <v>1.2372868773353791</v>
      </c>
      <c r="H42" s="207">
        <f>Data!DE42/H$2*100000</f>
        <v>0</v>
      </c>
      <c r="I42" s="207">
        <f>Data!DF42/I$2*100000</f>
        <v>0</v>
      </c>
      <c r="J42" s="207">
        <f>Data!DG42/J$2*100000</f>
        <v>0</v>
      </c>
      <c r="K42" s="207">
        <f>Data!DH42/K$2*100000</f>
        <v>0</v>
      </c>
      <c r="L42" s="207">
        <f>Data!DI42/L$2*100000</f>
        <v>2.9308037240745985</v>
      </c>
      <c r="M42" s="207">
        <f>Data!DJ42/M$2*100000</f>
        <v>1.8377116814143029</v>
      </c>
      <c r="N42" s="207">
        <f>Data!DK42/N$2*100000</f>
        <v>6.6970265202250205</v>
      </c>
      <c r="O42" s="207">
        <f>Data!DL42/O$2*100000</f>
        <v>6.8447440921302549</v>
      </c>
      <c r="P42" s="207">
        <f>Data!DM42/P$2*100000</f>
        <v>11.249399179816532</v>
      </c>
      <c r="Q42" s="207">
        <f>Data!DN42/Q$2*100000</f>
        <v>11.361312458815243</v>
      </c>
      <c r="R42" s="207">
        <f>Data!DO42/R$2*100000</f>
        <v>15.437046536757984</v>
      </c>
      <c r="S42" s="207">
        <f>Data!DP42/S$2*100000</f>
        <v>27.155800232058656</v>
      </c>
      <c r="T42" s="207">
        <f>Data!DQ42/T$2*100000</f>
        <v>36.038397274186678</v>
      </c>
      <c r="U42" s="207">
        <f>Data!DR42/U$2*100000</f>
        <v>26.370238143535236</v>
      </c>
      <c r="V42" s="207">
        <f>Data!BR42/V$2*100000</f>
        <v>7.2751500021059643</v>
      </c>
      <c r="W42" s="192"/>
    </row>
    <row r="43" spans="1:23" ht="12" customHeight="1">
      <c r="A43" s="192"/>
      <c r="B43" s="187" t="str">
        <f>UPPER(LEFT(TRIM(Data!B43),1)) &amp; MID(TRIM(Data!B43),2,50)</f>
        <v>Kiti limfinio, kraujodaros audinių</v>
      </c>
      <c r="C43" s="188" t="str">
        <f>Data!C43</f>
        <v>C88, C96</v>
      </c>
      <c r="D43" s="209">
        <f>Data!DA43/D$2*100000</f>
        <v>0</v>
      </c>
      <c r="E43" s="209">
        <f>Data!DB43/E$2*100000</f>
        <v>0</v>
      </c>
      <c r="F43" s="209">
        <f>Data!DC43/F$2*100000</f>
        <v>0</v>
      </c>
      <c r="G43" s="209">
        <f>Data!DD43/G$2*100000</f>
        <v>0</v>
      </c>
      <c r="H43" s="209">
        <f>Data!DE43/H$2*100000</f>
        <v>0</v>
      </c>
      <c r="I43" s="209">
        <f>Data!DF43/I$2*100000</f>
        <v>0</v>
      </c>
      <c r="J43" s="209">
        <f>Data!DG43/J$2*100000</f>
        <v>0</v>
      </c>
      <c r="K43" s="209">
        <f>Data!DH43/K$2*100000</f>
        <v>0</v>
      </c>
      <c r="L43" s="209">
        <f>Data!DI43/L$2*100000</f>
        <v>0</v>
      </c>
      <c r="M43" s="209">
        <f>Data!DJ43/M$2*100000</f>
        <v>0</v>
      </c>
      <c r="N43" s="209">
        <f>Data!DK43/N$2*100000</f>
        <v>0.83712831502812757</v>
      </c>
      <c r="O43" s="209">
        <f>Data!DL43/O$2*100000</f>
        <v>0</v>
      </c>
      <c r="P43" s="209">
        <f>Data!DM43/P$2*100000</f>
        <v>0</v>
      </c>
      <c r="Q43" s="209">
        <f>Data!DN43/Q$2*100000</f>
        <v>0</v>
      </c>
      <c r="R43" s="209">
        <f>Data!DO43/R$2*100000</f>
        <v>0</v>
      </c>
      <c r="S43" s="209">
        <f>Data!DP43/S$2*100000</f>
        <v>0</v>
      </c>
      <c r="T43" s="209">
        <f>Data!DQ43/T$2*100000</f>
        <v>0</v>
      </c>
      <c r="U43" s="209">
        <f>Data!DR43/U$2*100000</f>
        <v>0</v>
      </c>
      <c r="V43" s="209">
        <f>Data!BR43/V$2*100000</f>
        <v>6.3817105281631259E-2</v>
      </c>
      <c r="W43" s="192"/>
    </row>
    <row r="44" spans="1:23" ht="24" customHeight="1">
      <c r="A44" s="192"/>
      <c r="B44" s="196"/>
      <c r="C44" s="197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2"/>
    </row>
    <row r="45" spans="1:23" ht="3" customHeight="1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</row>
    <row r="46" spans="1:23" ht="3" customHeight="1">
      <c r="A46" s="192"/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</row>
    <row r="47" spans="1:23" ht="3" customHeight="1">
      <c r="A47" s="192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</row>
    <row r="48" spans="1:23" ht="3" customHeight="1"/>
    <row r="49" ht="3" customHeight="1"/>
    <row r="50" ht="3" customHeight="1"/>
    <row r="51" ht="3" customHeight="1"/>
    <row r="52" ht="3" customHeight="1"/>
    <row r="53" ht="3" customHeight="1"/>
    <row r="54" ht="3" customHeight="1"/>
    <row r="55" ht="3" customHeight="1"/>
  </sheetData>
  <mergeCells count="5">
    <mergeCell ref="V5:V6"/>
    <mergeCell ref="B4:H4"/>
    <mergeCell ref="B5:B6"/>
    <mergeCell ref="C5:C6"/>
    <mergeCell ref="D5:U5"/>
  </mergeCells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 tint="0.39997558519241921"/>
  </sheetPr>
  <dimension ref="A1:H48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7" width="9.28515625" customWidth="1"/>
    <col min="8" max="8" width="3.28515625" customWidth="1"/>
    <col min="9" max="14" width="0.85546875" customWidth="1"/>
  </cols>
  <sheetData>
    <row r="1" spans="1:8" ht="15">
      <c r="A1" s="29"/>
      <c r="B1" s="428" t="s">
        <v>403</v>
      </c>
      <c r="C1" s="427"/>
      <c r="D1" s="427"/>
      <c r="E1" s="427"/>
      <c r="F1" s="29"/>
      <c r="G1" s="29"/>
      <c r="H1" s="30"/>
    </row>
    <row r="2" spans="1:8" ht="12.75" customHeight="1">
      <c r="A2" s="29"/>
      <c r="B2" s="452" t="str">
        <f>"Gyvi intervalo pabaigai, su metais po diagnozės nustatymo.  " &amp; GrafikaiSerg!A1 &amp; " metai. Vyrai."</f>
        <v>Gyvi intervalo pabaigai, su metais po diagnozės nustatymo.  2015 metai. Vyrai.</v>
      </c>
      <c r="C2" s="427"/>
      <c r="D2" s="427"/>
      <c r="E2" s="465"/>
      <c r="F2" s="29"/>
      <c r="G2" s="29"/>
      <c r="H2" s="30"/>
    </row>
    <row r="3" spans="1:8" ht="12.75" customHeight="1">
      <c r="A3" s="29"/>
      <c r="B3" s="63" t="s">
        <v>627</v>
      </c>
      <c r="C3" s="57"/>
      <c r="D3" s="29"/>
      <c r="E3" s="29"/>
      <c r="F3" s="29"/>
      <c r="G3" s="61"/>
      <c r="H3" s="30"/>
    </row>
    <row r="4" spans="1:8" ht="26.1" customHeight="1" thickBot="1">
      <c r="A4" s="29"/>
      <c r="B4" s="178" t="s">
        <v>243</v>
      </c>
      <c r="C4" s="178" t="s">
        <v>244</v>
      </c>
      <c r="D4" s="178" t="s">
        <v>436</v>
      </c>
      <c r="E4" s="178" t="s">
        <v>437</v>
      </c>
      <c r="F4" s="179" t="s">
        <v>438</v>
      </c>
      <c r="G4" s="180" t="s">
        <v>428</v>
      </c>
      <c r="H4" s="30"/>
    </row>
    <row r="5" spans="1:8" ht="12" customHeight="1" thickTop="1">
      <c r="A5" s="29"/>
      <c r="B5" s="150" t="str">
        <f>UPPER(LEFT(TRIM(Data!B5),1)) &amp; MID(TRIM(Data!B5),2,50)</f>
        <v>Piktybiniai navikai</v>
      </c>
      <c r="C5" s="150" t="str">
        <f>Data!C5</f>
        <v>C00-C96</v>
      </c>
      <c r="D5" s="169">
        <f>Data!BK5</f>
        <v>44291</v>
      </c>
      <c r="E5" s="169">
        <f>Data!BL5</f>
        <v>25801</v>
      </c>
      <c r="F5" s="169">
        <f>Data!BM5</f>
        <v>9398</v>
      </c>
      <c r="G5" s="169">
        <f>Data!BN5</f>
        <v>49916</v>
      </c>
      <c r="H5" s="30"/>
    </row>
    <row r="6" spans="1:8" ht="12" customHeight="1">
      <c r="A6" s="29"/>
      <c r="B6" s="145" t="str">
        <f>UPPER(LEFT(TRIM(Data!B6),1)) &amp; MID(TRIM(Data!B6),2,50)</f>
        <v>Lūpos</v>
      </c>
      <c r="C6" s="174" t="str">
        <f>Data!C6</f>
        <v>C00</v>
      </c>
      <c r="D6" s="175">
        <f>Data!BK6</f>
        <v>295</v>
      </c>
      <c r="E6" s="175">
        <f>Data!BL6</f>
        <v>242</v>
      </c>
      <c r="F6" s="175">
        <f>Data!BM6</f>
        <v>184</v>
      </c>
      <c r="G6" s="175">
        <f>Data!BN6</f>
        <v>300</v>
      </c>
      <c r="H6" s="30"/>
    </row>
    <row r="7" spans="1:8" ht="12" customHeight="1">
      <c r="A7" s="29"/>
      <c r="B7" s="150" t="str">
        <f>UPPER(LEFT(TRIM(Data!B7),1)) &amp; MID(TRIM(Data!B7),2,50)</f>
        <v>Burnos ertmės ir ryklės</v>
      </c>
      <c r="C7" s="150" t="str">
        <f>Data!C7</f>
        <v>C01-C14</v>
      </c>
      <c r="D7" s="169">
        <f>Data!BK7</f>
        <v>510</v>
      </c>
      <c r="E7" s="169">
        <f>Data!BL7</f>
        <v>313</v>
      </c>
      <c r="F7" s="169">
        <f>Data!BM7</f>
        <v>159</v>
      </c>
      <c r="G7" s="169">
        <f>Data!BN7</f>
        <v>646</v>
      </c>
      <c r="H7" s="30"/>
    </row>
    <row r="8" spans="1:8" ht="12" customHeight="1">
      <c r="A8" s="29"/>
      <c r="B8" s="145" t="str">
        <f>UPPER(LEFT(TRIM(Data!B8),1)) &amp; MID(TRIM(Data!B8),2,50)</f>
        <v>Stemplės</v>
      </c>
      <c r="C8" s="174" t="str">
        <f>Data!C8</f>
        <v>C15</v>
      </c>
      <c r="D8" s="175">
        <f>Data!BK8</f>
        <v>73</v>
      </c>
      <c r="E8" s="175">
        <f>Data!BL8</f>
        <v>35</v>
      </c>
      <c r="F8" s="175">
        <f>Data!BM8</f>
        <v>19</v>
      </c>
      <c r="G8" s="175">
        <f>Data!BN8</f>
        <v>131</v>
      </c>
      <c r="H8" s="30"/>
    </row>
    <row r="9" spans="1:8" ht="12" customHeight="1">
      <c r="A9" s="29"/>
      <c r="B9" s="150" t="str">
        <f>UPPER(LEFT(TRIM(Data!B9),1)) &amp; MID(TRIM(Data!B9),2,50)</f>
        <v>Skrandžio</v>
      </c>
      <c r="C9" s="150" t="str">
        <f>Data!C9</f>
        <v>C16</v>
      </c>
      <c r="D9" s="169">
        <f>Data!BK9</f>
        <v>1286</v>
      </c>
      <c r="E9" s="169">
        <f>Data!BL9</f>
        <v>859</v>
      </c>
      <c r="F9" s="169">
        <f>Data!BM9</f>
        <v>539</v>
      </c>
      <c r="G9" s="169">
        <f>Data!BN9</f>
        <v>1471</v>
      </c>
      <c r="H9" s="30"/>
    </row>
    <row r="10" spans="1:8" ht="12" customHeight="1">
      <c r="A10" s="29"/>
      <c r="B10" s="145" t="str">
        <f>UPPER(LEFT(TRIM(Data!B10),1)) &amp; MID(TRIM(Data!B10),2,50)</f>
        <v>Gaubtinės žarnos</v>
      </c>
      <c r="C10" s="174" t="str">
        <f>Data!C10</f>
        <v>C18</v>
      </c>
      <c r="D10" s="175">
        <f>Data!BK10</f>
        <v>1739</v>
      </c>
      <c r="E10" s="175">
        <f>Data!BL10</f>
        <v>1088</v>
      </c>
      <c r="F10" s="175">
        <f>Data!BM10</f>
        <v>551</v>
      </c>
      <c r="G10" s="175">
        <f>Data!BN10</f>
        <v>1959</v>
      </c>
      <c r="H10" s="30"/>
    </row>
    <row r="11" spans="1:8" ht="12" customHeight="1">
      <c r="A11" s="29"/>
      <c r="B11" s="150" t="str">
        <f>UPPER(LEFT(TRIM(Data!B11),1)) &amp; MID(TRIM(Data!B11),2,50)</f>
        <v>Tiesiosios žarnos, išangės</v>
      </c>
      <c r="C11" s="150" t="str">
        <f>Data!C11</f>
        <v>C19-C21</v>
      </c>
      <c r="D11" s="169">
        <f>Data!BK11</f>
        <v>1566</v>
      </c>
      <c r="E11" s="169">
        <f>Data!BL11</f>
        <v>1009</v>
      </c>
      <c r="F11" s="169">
        <f>Data!BM11</f>
        <v>482</v>
      </c>
      <c r="G11" s="169">
        <f>Data!BN11</f>
        <v>1750</v>
      </c>
      <c r="H11" s="30"/>
    </row>
    <row r="12" spans="1:8" ht="12" customHeight="1">
      <c r="A12" s="29"/>
      <c r="B12" s="145" t="str">
        <f>UPPER(LEFT(TRIM(Data!B12),1)) &amp; MID(TRIM(Data!B12),2,50)</f>
        <v>Kepenų</v>
      </c>
      <c r="C12" s="174" t="str">
        <f>Data!C12</f>
        <v>C22</v>
      </c>
      <c r="D12" s="175">
        <f>Data!BK12</f>
        <v>84</v>
      </c>
      <c r="E12" s="175">
        <f>Data!BL12</f>
        <v>36</v>
      </c>
      <c r="F12" s="175">
        <f>Data!BM12</f>
        <v>12</v>
      </c>
      <c r="G12" s="175">
        <f>Data!BN12</f>
        <v>130</v>
      </c>
      <c r="H12" s="30"/>
    </row>
    <row r="13" spans="1:8" ht="12" customHeight="1">
      <c r="A13" s="29"/>
      <c r="B13" s="150" t="str">
        <f>UPPER(LEFT(TRIM(Data!B13),1)) &amp; MID(TRIM(Data!B13),2,50)</f>
        <v>Tulžies pūslės, ekstrahepatinių takų</v>
      </c>
      <c r="C13" s="150" t="str">
        <f>Data!C13</f>
        <v>C23, C24</v>
      </c>
      <c r="D13" s="169">
        <f>Data!BK13</f>
        <v>66</v>
      </c>
      <c r="E13" s="169">
        <f>Data!BL13</f>
        <v>38</v>
      </c>
      <c r="F13" s="169">
        <f>Data!BM13</f>
        <v>19</v>
      </c>
      <c r="G13" s="169">
        <f>Data!BN13</f>
        <v>82</v>
      </c>
      <c r="H13" s="30"/>
    </row>
    <row r="14" spans="1:8" ht="12" customHeight="1">
      <c r="A14" s="29"/>
      <c r="B14" s="145" t="str">
        <f>UPPER(LEFT(TRIM(Data!B14),1)) &amp; MID(TRIM(Data!B14),2,50)</f>
        <v>Kasos</v>
      </c>
      <c r="C14" s="174" t="str">
        <f>Data!C14</f>
        <v>C25</v>
      </c>
      <c r="D14" s="175">
        <f>Data!BK14</f>
        <v>135</v>
      </c>
      <c r="E14" s="175">
        <f>Data!BL14</f>
        <v>69</v>
      </c>
      <c r="F14" s="175">
        <f>Data!BM14</f>
        <v>43</v>
      </c>
      <c r="G14" s="175">
        <f>Data!BN14</f>
        <v>206</v>
      </c>
      <c r="H14" s="30"/>
    </row>
    <row r="15" spans="1:8" ht="12" customHeight="1">
      <c r="A15" s="29"/>
      <c r="B15" s="150" t="str">
        <f>UPPER(LEFT(TRIM(Data!B15),1)) &amp; MID(TRIM(Data!B15),2,50)</f>
        <v>Kitų virškinimo sistemos organų</v>
      </c>
      <c r="C15" s="150" t="str">
        <f>Data!C15</f>
        <v>C17, C26, C48</v>
      </c>
      <c r="D15" s="169">
        <f>Data!BK15</f>
        <v>77</v>
      </c>
      <c r="E15" s="169">
        <f>Data!BL15</f>
        <v>51</v>
      </c>
      <c r="F15" s="169">
        <f>Data!BM15</f>
        <v>25</v>
      </c>
      <c r="G15" s="169">
        <f>Data!BN15</f>
        <v>83</v>
      </c>
      <c r="H15" s="30"/>
    </row>
    <row r="16" spans="1:8" ht="12" customHeight="1">
      <c r="A16" s="29"/>
      <c r="B16" s="145" t="str">
        <f>UPPER(LEFT(TRIM(Data!B16),1)) &amp; MID(TRIM(Data!B16),2,50)</f>
        <v>Nosies ertmės, vid.ausies ir ančių</v>
      </c>
      <c r="C16" s="174" t="str">
        <f>Data!C16</f>
        <v>C30, C31</v>
      </c>
      <c r="D16" s="175">
        <f>Data!BK16</f>
        <v>67</v>
      </c>
      <c r="E16" s="175">
        <f>Data!BL16</f>
        <v>40</v>
      </c>
      <c r="F16" s="175">
        <f>Data!BM16</f>
        <v>24</v>
      </c>
      <c r="G16" s="175">
        <f>Data!BN16</f>
        <v>70</v>
      </c>
      <c r="H16" s="30"/>
    </row>
    <row r="17" spans="1:8" ht="12" customHeight="1">
      <c r="A17" s="29"/>
      <c r="B17" s="150" t="str">
        <f>UPPER(LEFT(TRIM(Data!B17),1)) &amp; MID(TRIM(Data!B17),2,50)</f>
        <v>Gerklų</v>
      </c>
      <c r="C17" s="150" t="str">
        <f>Data!C17</f>
        <v>C32</v>
      </c>
      <c r="D17" s="169">
        <f>Data!BK17</f>
        <v>868</v>
      </c>
      <c r="E17" s="169">
        <f>Data!BL17</f>
        <v>598</v>
      </c>
      <c r="F17" s="169">
        <f>Data!BM17</f>
        <v>328</v>
      </c>
      <c r="G17" s="169">
        <f>Data!BN17</f>
        <v>959</v>
      </c>
      <c r="H17" s="30"/>
    </row>
    <row r="18" spans="1:8" ht="12" customHeight="1">
      <c r="A18" s="29"/>
      <c r="B18" s="145" t="str">
        <f>UPPER(LEFT(TRIM(Data!B18),1)) &amp; MID(TRIM(Data!B18),2,50)</f>
        <v>Plaučių, trachėjos, bronchų</v>
      </c>
      <c r="C18" s="174" t="str">
        <f>Data!C18</f>
        <v>C33, C34</v>
      </c>
      <c r="D18" s="175">
        <f>Data!BK18</f>
        <v>877</v>
      </c>
      <c r="E18" s="175">
        <f>Data!BL18</f>
        <v>488</v>
      </c>
      <c r="F18" s="175">
        <f>Data!BM18</f>
        <v>258</v>
      </c>
      <c r="G18" s="175">
        <f>Data!BN18</f>
        <v>1242</v>
      </c>
      <c r="H18" s="30"/>
    </row>
    <row r="19" spans="1:8" ht="12" customHeight="1">
      <c r="A19" s="29"/>
      <c r="B19" s="150" t="str">
        <f>UPPER(LEFT(TRIM(Data!B19),1)) &amp; MID(TRIM(Data!B19),2,50)</f>
        <v>Kitų kvėpavimo sistemos organų</v>
      </c>
      <c r="C19" s="150" t="str">
        <f>Data!C19</f>
        <v>C37-C39</v>
      </c>
      <c r="D19" s="169">
        <f>Data!BK19</f>
        <v>34</v>
      </c>
      <c r="E19" s="169">
        <f>Data!BL19</f>
        <v>28</v>
      </c>
      <c r="F19" s="169">
        <f>Data!BM19</f>
        <v>16</v>
      </c>
      <c r="G19" s="169">
        <f>Data!BN19</f>
        <v>36</v>
      </c>
      <c r="H19" s="30"/>
    </row>
    <row r="20" spans="1:8" ht="12" customHeight="1">
      <c r="A20" s="29"/>
      <c r="B20" s="145" t="str">
        <f>UPPER(LEFT(TRIM(Data!B20),1)) &amp; MID(TRIM(Data!B20),2,50)</f>
        <v>Kaulų ir jungiamojo audinio</v>
      </c>
      <c r="C20" s="174" t="str">
        <f>Data!C20</f>
        <v>C40-C41, C45-C47, C49</v>
      </c>
      <c r="D20" s="175">
        <f>Data!BK20</f>
        <v>361</v>
      </c>
      <c r="E20" s="175">
        <f>Data!BL20</f>
        <v>241</v>
      </c>
      <c r="F20" s="175">
        <f>Data!BM20</f>
        <v>155</v>
      </c>
      <c r="G20" s="175">
        <f>Data!BN20</f>
        <v>395</v>
      </c>
      <c r="H20" s="30"/>
    </row>
    <row r="21" spans="1:8" ht="12" customHeight="1">
      <c r="A21" s="29"/>
      <c r="B21" s="150" t="str">
        <f>UPPER(LEFT(TRIM(Data!B21),1)) &amp; MID(TRIM(Data!B21),2,50)</f>
        <v>Odos melanoma</v>
      </c>
      <c r="C21" s="150" t="str">
        <f>Data!C21</f>
        <v>C43</v>
      </c>
      <c r="D21" s="169">
        <f>Data!BK21</f>
        <v>747</v>
      </c>
      <c r="E21" s="169">
        <f>Data!BL21</f>
        <v>473</v>
      </c>
      <c r="F21" s="169">
        <f>Data!BM21</f>
        <v>266</v>
      </c>
      <c r="G21" s="169">
        <f>Data!BN21</f>
        <v>845</v>
      </c>
      <c r="H21" s="30"/>
    </row>
    <row r="22" spans="1:8" ht="12" customHeight="1">
      <c r="A22" s="29"/>
      <c r="B22" s="145" t="str">
        <f>UPPER(LEFT(TRIM(Data!B22),1)) &amp; MID(TRIM(Data!B22),2,50)</f>
        <v>Kiti odos piktybiniai navikai</v>
      </c>
      <c r="C22" s="174" t="str">
        <f>Data!C22</f>
        <v>C44</v>
      </c>
      <c r="D22" s="175">
        <f>Data!BK22</f>
        <v>3154</v>
      </c>
      <c r="E22" s="175">
        <f>Data!BL22</f>
        <v>679</v>
      </c>
      <c r="F22" s="175">
        <f>Data!BM22</f>
        <v>415</v>
      </c>
      <c r="G22" s="175">
        <f>Data!BN22</f>
        <v>3793</v>
      </c>
      <c r="H22" s="30"/>
    </row>
    <row r="23" spans="1:8" ht="12" customHeight="1">
      <c r="A23" s="29"/>
      <c r="B23" s="150" t="str">
        <f>UPPER(LEFT(TRIM(Data!B23),1)) &amp; MID(TRIM(Data!B23),2,50)</f>
        <v>Krūties</v>
      </c>
      <c r="C23" s="150" t="str">
        <f>Data!C23</f>
        <v>C50</v>
      </c>
      <c r="D23" s="169">
        <f>Data!BK23</f>
        <v>70</v>
      </c>
      <c r="E23" s="169">
        <f>Data!BL23</f>
        <v>40</v>
      </c>
      <c r="F23" s="169">
        <f>Data!BM23</f>
        <v>20</v>
      </c>
      <c r="G23" s="169">
        <f>Data!BN23</f>
        <v>74</v>
      </c>
      <c r="H23" s="30"/>
    </row>
    <row r="24" spans="1:8" ht="12" customHeight="1">
      <c r="A24" s="29"/>
      <c r="B24" s="145" t="str">
        <f>UPPER(LEFT(TRIM(Data!B28),1)) &amp; MID(TRIM(Data!B28),2,50)</f>
        <v>Priešinės liaukos</v>
      </c>
      <c r="C24" s="174" t="str">
        <f>Data!C28</f>
        <v>C61</v>
      </c>
      <c r="D24" s="175">
        <f>Data!BK28</f>
        <v>23961</v>
      </c>
      <c r="E24" s="175">
        <f>Data!BL28</f>
        <v>13896</v>
      </c>
      <c r="F24" s="175">
        <f>Data!BM28</f>
        <v>2747</v>
      </c>
      <c r="G24" s="175">
        <f>Data!BN28</f>
        <v>26480</v>
      </c>
      <c r="H24" s="30"/>
    </row>
    <row r="25" spans="1:8" ht="12" customHeight="1">
      <c r="A25" s="29"/>
      <c r="B25" s="150" t="str">
        <f>UPPER(LEFT(TRIM(Data!B29),1)) &amp; MID(TRIM(Data!B29),2,50)</f>
        <v>Sėklidžių</v>
      </c>
      <c r="C25" s="150" t="str">
        <f>Data!C29</f>
        <v>C62</v>
      </c>
      <c r="D25" s="169">
        <f>Data!BK29</f>
        <v>554</v>
      </c>
      <c r="E25" s="169">
        <f>Data!BL29</f>
        <v>421</v>
      </c>
      <c r="F25" s="169">
        <f>Data!BM29</f>
        <v>264</v>
      </c>
      <c r="G25" s="169">
        <f>Data!BN29</f>
        <v>580</v>
      </c>
      <c r="H25" s="30"/>
    </row>
    <row r="26" spans="1:8" ht="12" customHeight="1">
      <c r="A26" s="29"/>
      <c r="B26" s="145" t="str">
        <f>UPPER(LEFT(TRIM(Data!B30),1)) &amp; MID(TRIM(Data!B30),2,50)</f>
        <v>Kitų lyties organų</v>
      </c>
      <c r="C26" s="174" t="s">
        <v>417</v>
      </c>
      <c r="D26" s="175">
        <f>Data!BK30</f>
        <v>164</v>
      </c>
      <c r="E26" s="175">
        <f>Data!BL30</f>
        <v>107</v>
      </c>
      <c r="F26" s="175">
        <f>Data!BM30</f>
        <v>61</v>
      </c>
      <c r="G26" s="175">
        <f>Data!BN30</f>
        <v>181</v>
      </c>
      <c r="H26" s="30"/>
    </row>
    <row r="27" spans="1:8" ht="12" customHeight="1">
      <c r="A27" s="29"/>
      <c r="B27" s="150" t="str">
        <f>UPPER(LEFT(TRIM(Data!B31),1)) &amp; MID(TRIM(Data!B31),2,50)</f>
        <v>Inkstų</v>
      </c>
      <c r="C27" s="150" t="str">
        <f>Data!C31</f>
        <v>C64</v>
      </c>
      <c r="D27" s="169">
        <f>Data!BK31</f>
        <v>2300</v>
      </c>
      <c r="E27" s="169">
        <f>Data!BL31</f>
        <v>1536</v>
      </c>
      <c r="F27" s="169">
        <f>Data!BM31</f>
        <v>781</v>
      </c>
      <c r="G27" s="169">
        <f>Data!BN31</f>
        <v>2564</v>
      </c>
      <c r="H27" s="30"/>
    </row>
    <row r="28" spans="1:8" ht="12" customHeight="1">
      <c r="A28" s="29"/>
      <c r="B28" s="145" t="str">
        <f>UPPER(LEFT(TRIM(Data!B32),1)) &amp; MID(TRIM(Data!B32),2,50)</f>
        <v>Šlapimo pūslės</v>
      </c>
      <c r="C28" s="174" t="str">
        <f>Data!C32</f>
        <v>C67</v>
      </c>
      <c r="D28" s="175">
        <f>Data!BK32</f>
        <v>1402</v>
      </c>
      <c r="E28" s="175">
        <f>Data!BL32</f>
        <v>960</v>
      </c>
      <c r="F28" s="175">
        <f>Data!BM32</f>
        <v>568</v>
      </c>
      <c r="G28" s="175">
        <f>Data!BN32</f>
        <v>1564</v>
      </c>
      <c r="H28" s="30"/>
    </row>
    <row r="29" spans="1:8" ht="12" customHeight="1">
      <c r="A29" s="29"/>
      <c r="B29" s="150" t="str">
        <f>UPPER(LEFT(TRIM(Data!B33),1)) &amp; MID(TRIM(Data!B33),2,50)</f>
        <v>Kitų šlapimą išskiriančių organų</v>
      </c>
      <c r="C29" s="150" t="str">
        <f>Data!C33</f>
        <v>C65, C66, C68</v>
      </c>
      <c r="D29" s="169">
        <f>Data!BK33</f>
        <v>73</v>
      </c>
      <c r="E29" s="169">
        <f>Data!BL33</f>
        <v>49</v>
      </c>
      <c r="F29" s="169">
        <f>Data!BM33</f>
        <v>34</v>
      </c>
      <c r="G29" s="169">
        <f>Data!BN33</f>
        <v>83</v>
      </c>
      <c r="H29" s="30"/>
    </row>
    <row r="30" spans="1:8" ht="12" customHeight="1">
      <c r="A30" s="29"/>
      <c r="B30" s="145" t="str">
        <f>UPPER(LEFT(TRIM(Data!B34),1)) &amp; MID(TRIM(Data!B34),2,50)</f>
        <v>Akių</v>
      </c>
      <c r="C30" s="174" t="str">
        <f>Data!C34</f>
        <v>C69</v>
      </c>
      <c r="D30" s="175">
        <f>Data!BK34</f>
        <v>88</v>
      </c>
      <c r="E30" s="175">
        <f>Data!BL34</f>
        <v>65</v>
      </c>
      <c r="F30" s="175">
        <f>Data!BM34</f>
        <v>40</v>
      </c>
      <c r="G30" s="175">
        <f>Data!BN34</f>
        <v>99</v>
      </c>
      <c r="H30" s="30"/>
    </row>
    <row r="31" spans="1:8" ht="12" customHeight="1">
      <c r="A31" s="29"/>
      <c r="B31" s="150" t="str">
        <f>UPPER(LEFT(TRIM(Data!B35),1)) &amp; MID(TRIM(Data!B35),2,50)</f>
        <v>Smegenų</v>
      </c>
      <c r="C31" s="150" t="str">
        <f>Data!C35</f>
        <v>C70-C72</v>
      </c>
      <c r="D31" s="169">
        <f>Data!BK35</f>
        <v>354</v>
      </c>
      <c r="E31" s="169">
        <f>Data!BL35</f>
        <v>234</v>
      </c>
      <c r="F31" s="169">
        <f>Data!BM35</f>
        <v>141</v>
      </c>
      <c r="G31" s="169">
        <f>Data!BN35</f>
        <v>428</v>
      </c>
      <c r="H31" s="30"/>
    </row>
    <row r="32" spans="1:8" ht="12" customHeight="1">
      <c r="A32" s="29"/>
      <c r="B32" s="145" t="str">
        <f>UPPER(LEFT(TRIM(Data!B36),1)) &amp; MID(TRIM(Data!B36),2,50)</f>
        <v>Skydliaukės</v>
      </c>
      <c r="C32" s="174" t="str">
        <f>Data!C36</f>
        <v>C73</v>
      </c>
      <c r="D32" s="175">
        <f>Data!BK36</f>
        <v>535</v>
      </c>
      <c r="E32" s="175">
        <f>Data!BL36</f>
        <v>361</v>
      </c>
      <c r="F32" s="175">
        <f>Data!BM36</f>
        <v>175</v>
      </c>
      <c r="G32" s="175">
        <f>Data!BN36</f>
        <v>581</v>
      </c>
      <c r="H32" s="30"/>
    </row>
    <row r="33" spans="1:8" ht="12" customHeight="1">
      <c r="A33" s="29"/>
      <c r="B33" s="150" t="str">
        <f>UPPER(LEFT(TRIM(Data!B37),1)) &amp; MID(TRIM(Data!B37),2,50)</f>
        <v>Kitų endokrininių liaukų</v>
      </c>
      <c r="C33" s="150" t="str">
        <f>Data!C37</f>
        <v>C74-C75</v>
      </c>
      <c r="D33" s="169">
        <f>Data!BK37</f>
        <v>40</v>
      </c>
      <c r="E33" s="169">
        <f>Data!BL37</f>
        <v>24</v>
      </c>
      <c r="F33" s="169">
        <f>Data!BM37</f>
        <v>12</v>
      </c>
      <c r="G33" s="169">
        <f>Data!BN37</f>
        <v>43</v>
      </c>
      <c r="H33" s="30"/>
    </row>
    <row r="34" spans="1:8" ht="12" customHeight="1">
      <c r="A34" s="29"/>
      <c r="B34" s="145" t="str">
        <f>UPPER(LEFT(TRIM(Data!B38),1)) &amp; MID(TRIM(Data!B38),2,50)</f>
        <v>Nepatikslintos lokalizacijos</v>
      </c>
      <c r="C34" s="174" t="str">
        <f>Data!C38</f>
        <v>C76-C80</v>
      </c>
      <c r="D34" s="175">
        <f>Data!BK38</f>
        <v>129</v>
      </c>
      <c r="E34" s="175">
        <f>Data!BL38</f>
        <v>86</v>
      </c>
      <c r="F34" s="175">
        <f>Data!BM38</f>
        <v>44</v>
      </c>
      <c r="G34" s="175">
        <f>Data!BN38</f>
        <v>162</v>
      </c>
      <c r="H34" s="30"/>
    </row>
    <row r="35" spans="1:8" ht="12" customHeight="1">
      <c r="A35" s="29"/>
      <c r="B35" s="150" t="str">
        <f>UPPER(LEFT(TRIM(Data!B39),1)) &amp; MID(TRIM(Data!B39),2,50)</f>
        <v>Hodžkino limfomos</v>
      </c>
      <c r="C35" s="150" t="str">
        <f>Data!C39</f>
        <v>C81</v>
      </c>
      <c r="D35" s="169">
        <f>Data!BK39</f>
        <v>499</v>
      </c>
      <c r="E35" s="169">
        <f>Data!BL39</f>
        <v>411</v>
      </c>
      <c r="F35" s="169">
        <f>Data!BM39</f>
        <v>293</v>
      </c>
      <c r="G35" s="169">
        <f>Data!BN39</f>
        <v>511</v>
      </c>
      <c r="H35" s="30"/>
    </row>
    <row r="36" spans="1:8" ht="12" customHeight="1">
      <c r="A36" s="29"/>
      <c r="B36" s="145" t="str">
        <f>UPPER(LEFT(TRIM(Data!B40),1)) &amp; MID(TRIM(Data!B40),2,50)</f>
        <v>Ne Hodžkino limfomos</v>
      </c>
      <c r="C36" s="174" t="str">
        <f>Data!C40</f>
        <v>C82-C85</v>
      </c>
      <c r="D36" s="175">
        <f>Data!BK40</f>
        <v>828</v>
      </c>
      <c r="E36" s="175">
        <f>Data!BL40</f>
        <v>503</v>
      </c>
      <c r="F36" s="175">
        <f>Data!BM40</f>
        <v>263</v>
      </c>
      <c r="G36" s="175">
        <f>Data!BN40</f>
        <v>933</v>
      </c>
      <c r="H36" s="30"/>
    </row>
    <row r="37" spans="1:8" ht="12" customHeight="1">
      <c r="A37" s="29"/>
      <c r="B37" s="150" t="str">
        <f>UPPER(LEFT(TRIM(Data!B41),1)) &amp; MID(TRIM(Data!B41),2,50)</f>
        <v>Mielominės ligos</v>
      </c>
      <c r="C37" s="150" t="str">
        <f>Data!C41</f>
        <v>C90</v>
      </c>
      <c r="D37" s="169">
        <f>Data!BK41</f>
        <v>239</v>
      </c>
      <c r="E37" s="169">
        <f>Data!BL41</f>
        <v>107</v>
      </c>
      <c r="F37" s="169">
        <f>Data!BM41</f>
        <v>36</v>
      </c>
      <c r="G37" s="169">
        <f>Data!BN41</f>
        <v>279</v>
      </c>
      <c r="H37" s="30"/>
    </row>
    <row r="38" spans="1:8" ht="12" customHeight="1">
      <c r="A38" s="29"/>
      <c r="B38" s="145" t="str">
        <f>UPPER(LEFT(TRIM(Data!B42),1)) &amp; MID(TRIM(Data!B42),2,50)</f>
        <v>Leukemijos</v>
      </c>
      <c r="C38" s="174" t="str">
        <f>Data!C42</f>
        <v>C91-C95</v>
      </c>
      <c r="D38" s="175">
        <f>Data!BK42</f>
        <v>1092</v>
      </c>
      <c r="E38" s="175">
        <f>Data!BL42</f>
        <v>701</v>
      </c>
      <c r="F38" s="175">
        <f>Data!BM42</f>
        <v>416</v>
      </c>
      <c r="G38" s="175">
        <f>Data!BN42</f>
        <v>1228</v>
      </c>
      <c r="H38" s="30"/>
    </row>
    <row r="39" spans="1:8" ht="12" customHeight="1">
      <c r="A39" s="29"/>
      <c r="B39" s="150" t="str">
        <f>UPPER(LEFT(TRIM(Data!B43),1)) &amp; MID(TRIM(Data!B43),2,50)</f>
        <v>Kiti limfinio, kraujodaros audinių</v>
      </c>
      <c r="C39" s="150" t="str">
        <f>Data!C43</f>
        <v>C88, C96</v>
      </c>
      <c r="D39" s="169">
        <f>Data!BK43</f>
        <v>24</v>
      </c>
      <c r="E39" s="169">
        <f>Data!BL43</f>
        <v>13</v>
      </c>
      <c r="F39" s="169">
        <f>Data!BM43</f>
        <v>8</v>
      </c>
      <c r="G39" s="169">
        <f>Data!BN43</f>
        <v>28</v>
      </c>
      <c r="H39" s="30"/>
    </row>
    <row r="40" spans="1:8" ht="22.5" customHeight="1">
      <c r="A40" s="29"/>
      <c r="B40" s="100"/>
      <c r="C40" s="117"/>
      <c r="D40" s="118"/>
      <c r="E40" s="118"/>
      <c r="F40" s="118"/>
      <c r="G40" s="118"/>
      <c r="H40" s="30"/>
    </row>
    <row r="41" spans="1:8" ht="11.25" customHeight="1">
      <c r="A41" s="29"/>
      <c r="B41" s="97" t="str">
        <f>UPPER(LEFT(TRIM(Data!B44),1)) &amp; MID(TRIM(Data!B44),2,50)</f>
        <v>Melanoma in situ</v>
      </c>
      <c r="C41" s="97" t="str">
        <f>Data!C44</f>
        <v>D03</v>
      </c>
      <c r="D41" s="114">
        <f>Data!BK44</f>
        <v>65</v>
      </c>
      <c r="E41" s="114">
        <f>Data!BL44</f>
        <v>22</v>
      </c>
      <c r="F41" s="114">
        <f>Data!BM44</f>
        <v>3</v>
      </c>
      <c r="G41" s="114">
        <f>Data!BN44</f>
        <v>77</v>
      </c>
      <c r="H41" s="30"/>
    </row>
    <row r="42" spans="1:8" ht="11.25" customHeight="1">
      <c r="A42" s="29"/>
      <c r="B42" s="99" t="str">
        <f>UPPER(LEFT(TRIM(Data!B45),1)) &amp; MID(TRIM(Data!B45),2,50)</f>
        <v>Krūties navikai in situ</v>
      </c>
      <c r="C42" s="115" t="str">
        <f>Data!C45</f>
        <v>D05</v>
      </c>
      <c r="D42" s="116">
        <f>Data!BK45</f>
        <v>4</v>
      </c>
      <c r="E42" s="116">
        <f>Data!BL45</f>
        <v>3</v>
      </c>
      <c r="F42" s="116">
        <f>Data!BM45</f>
        <v>2</v>
      </c>
      <c r="G42" s="116">
        <f>Data!BN45</f>
        <v>4</v>
      </c>
      <c r="H42" s="30"/>
    </row>
    <row r="43" spans="1:8" ht="11.25" customHeight="1">
      <c r="A43" s="29"/>
      <c r="B43" s="103" t="str">
        <f>UPPER(LEFT(TRIM(Data!B47),1)) &amp; MID(TRIM(Data!B47),2,50)</f>
        <v>Šlapimo pūslės in situ</v>
      </c>
      <c r="C43" s="103" t="str">
        <f>Data!C47</f>
        <v>D09.0</v>
      </c>
      <c r="D43" s="122">
        <f>Data!BK47</f>
        <v>545</v>
      </c>
      <c r="E43" s="122">
        <f>Data!BL47</f>
        <v>273</v>
      </c>
      <c r="F43" s="122">
        <f>Data!BM47</f>
        <v>78</v>
      </c>
      <c r="G43" s="122">
        <f>Data!BN47</f>
        <v>624</v>
      </c>
      <c r="H43" s="30"/>
    </row>
    <row r="44" spans="1:8" ht="11.25" customHeight="1">
      <c r="A44" s="29"/>
      <c r="B44" s="99" t="str">
        <f>UPPER(LEFT(TRIM(Data!B48),1)) &amp; MID(TRIM(Data!B48),2,50)</f>
        <v>Nervų sistemos gerybiniai navikai</v>
      </c>
      <c r="C44" s="115" t="str">
        <f>Data!C48</f>
        <v>D32, D33</v>
      </c>
      <c r="D44" s="116">
        <f>Data!BK48</f>
        <v>86</v>
      </c>
      <c r="E44" s="116">
        <f>Data!BL48</f>
        <v>16</v>
      </c>
      <c r="F44" s="116">
        <f>Data!BM48</f>
        <v>5</v>
      </c>
      <c r="G44" s="116">
        <f>Data!BN48</f>
        <v>122</v>
      </c>
      <c r="H44" s="30"/>
    </row>
    <row r="45" spans="1:8" ht="11.25" customHeight="1">
      <c r="A45" s="29"/>
      <c r="B45" s="103" t="str">
        <f>UPPER(LEFT(TRIM(Data!B50),1)) &amp; MID(TRIM(Data!B50),2,50)</f>
        <v>Kiti nervų sistemos</v>
      </c>
      <c r="C45" s="103" t="str">
        <f>Data!C50</f>
        <v>D42, D43</v>
      </c>
      <c r="D45" s="122">
        <f>Data!BK50</f>
        <v>51</v>
      </c>
      <c r="E45" s="122">
        <f>Data!BL50</f>
        <v>23</v>
      </c>
      <c r="F45" s="122">
        <f>Data!BM50</f>
        <v>9</v>
      </c>
      <c r="G45" s="122">
        <f>Data!BN50</f>
        <v>64</v>
      </c>
      <c r="H45" s="30"/>
    </row>
    <row r="46" spans="1:8" ht="11.25" customHeight="1">
      <c r="A46" s="29"/>
      <c r="B46" s="99" t="str">
        <f>UPPER(LEFT(TRIM(Data!B51),1)) &amp; MID(TRIM(Data!B51),2,50)</f>
        <v>Limfinio ir kraujodaros audinių</v>
      </c>
      <c r="C46" s="115" t="str">
        <f>Data!C51</f>
        <v>D45-D47</v>
      </c>
      <c r="D46" s="116">
        <f>Data!BK51</f>
        <v>615</v>
      </c>
      <c r="E46" s="116">
        <f>Data!BL51</f>
        <v>286</v>
      </c>
      <c r="F46" s="116">
        <f>Data!BM51</f>
        <v>50</v>
      </c>
      <c r="G46" s="116">
        <f>Data!BN51</f>
        <v>715</v>
      </c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  <row r="48" spans="1:8">
      <c r="A48" s="30"/>
      <c r="B48" s="30"/>
      <c r="C48" s="30"/>
      <c r="D48" s="30"/>
      <c r="E48" s="30"/>
      <c r="F48" s="30"/>
      <c r="G48" s="30"/>
      <c r="H48" s="30"/>
    </row>
  </sheetData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 tint="0.39997558519241921"/>
  </sheetPr>
  <dimension ref="A1:H52"/>
  <sheetViews>
    <sheetView workbookViewId="0">
      <selection activeCell="B1" sqref="B1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7" width="9.28515625" customWidth="1"/>
    <col min="8" max="8" width="3.28515625" customWidth="1"/>
    <col min="9" max="12" width="0.85546875" customWidth="1"/>
  </cols>
  <sheetData>
    <row r="1" spans="1:8" ht="15">
      <c r="A1" s="65"/>
      <c r="B1" s="430" t="s">
        <v>403</v>
      </c>
      <c r="C1" s="429"/>
      <c r="D1" s="429"/>
      <c r="E1" s="429"/>
      <c r="F1" s="429"/>
      <c r="G1" s="65"/>
      <c r="H1" s="67"/>
    </row>
    <row r="2" spans="1:8" ht="12.75" customHeight="1">
      <c r="A2" s="65"/>
      <c r="B2" s="454" t="str">
        <f>"Gyvi intervalo pabaigai, su metais po diagnozės nustatymo.  " &amp; GrafikaiSerg!A1 &amp; " metai. Moterys."</f>
        <v>Gyvi intervalo pabaigai, su metais po diagnozės nustatymo.  2015 metai. Moterys.</v>
      </c>
      <c r="C2" s="454"/>
      <c r="D2" s="429"/>
      <c r="E2" s="466"/>
      <c r="F2" s="429"/>
      <c r="G2" s="65"/>
      <c r="H2" s="67"/>
    </row>
    <row r="3" spans="1:8" ht="12.75" customHeight="1">
      <c r="A3" s="65"/>
      <c r="B3" s="70" t="s">
        <v>628</v>
      </c>
      <c r="C3" s="69"/>
      <c r="D3" s="65"/>
      <c r="E3" s="65"/>
      <c r="F3" s="65"/>
      <c r="G3" s="71"/>
      <c r="H3" s="67"/>
    </row>
    <row r="4" spans="1:8" ht="26.1" customHeight="1" thickBot="1">
      <c r="A4" s="65"/>
      <c r="B4" s="178" t="s">
        <v>243</v>
      </c>
      <c r="C4" s="178" t="s">
        <v>244</v>
      </c>
      <c r="D4" s="178" t="s">
        <v>436</v>
      </c>
      <c r="E4" s="178" t="s">
        <v>437</v>
      </c>
      <c r="F4" s="179" t="s">
        <v>438</v>
      </c>
      <c r="G4" s="180" t="s">
        <v>428</v>
      </c>
      <c r="H4" s="67"/>
    </row>
    <row r="5" spans="1:8" ht="12" customHeight="1" thickTop="1">
      <c r="A5" s="65"/>
      <c r="B5" s="150" t="str">
        <f>UPPER(LEFT(TRIM(Data!B5),1)) &amp; MID(TRIM(Data!B5),2,50)</f>
        <v>Piktybiniai navikai</v>
      </c>
      <c r="C5" s="150" t="str">
        <f>Data!C5</f>
        <v>C00-C96</v>
      </c>
      <c r="D5" s="169">
        <f>Data!DX5</f>
        <v>53908</v>
      </c>
      <c r="E5" s="169">
        <f>Data!DY5</f>
        <v>35090</v>
      </c>
      <c r="F5" s="169">
        <f>Data!DZ5</f>
        <v>21081</v>
      </c>
      <c r="G5" s="169">
        <f>Data!EA5</f>
        <v>59439</v>
      </c>
      <c r="H5" s="67"/>
    </row>
    <row r="6" spans="1:8" ht="12" customHeight="1">
      <c r="A6" s="65"/>
      <c r="B6" s="145" t="str">
        <f>UPPER(LEFT(TRIM(Data!B6),1)) &amp; MID(TRIM(Data!B6),2,50)</f>
        <v>Lūpos</v>
      </c>
      <c r="C6" s="174" t="str">
        <f>Data!C6</f>
        <v>C00</v>
      </c>
      <c r="D6" s="175">
        <f>Data!DX6</f>
        <v>112</v>
      </c>
      <c r="E6" s="175">
        <f>Data!DY6</f>
        <v>86</v>
      </c>
      <c r="F6" s="175">
        <f>Data!DZ6</f>
        <v>60</v>
      </c>
      <c r="G6" s="175">
        <f>Data!EA6</f>
        <v>116</v>
      </c>
      <c r="H6" s="67"/>
    </row>
    <row r="7" spans="1:8" ht="12" customHeight="1">
      <c r="A7" s="65"/>
      <c r="B7" s="150" t="str">
        <f>UPPER(LEFT(TRIM(Data!B7),1)) &amp; MID(TRIM(Data!B7),2,50)</f>
        <v>Burnos ertmės ir ryklės</v>
      </c>
      <c r="C7" s="150" t="str">
        <f>Data!C7</f>
        <v>C01-C14</v>
      </c>
      <c r="D7" s="169">
        <f>Data!DX7</f>
        <v>304</v>
      </c>
      <c r="E7" s="169">
        <f>Data!DY7</f>
        <v>202</v>
      </c>
      <c r="F7" s="169">
        <f>Data!DZ7</f>
        <v>129</v>
      </c>
      <c r="G7" s="169">
        <f>Data!EA7</f>
        <v>351</v>
      </c>
      <c r="H7" s="67"/>
    </row>
    <row r="8" spans="1:8" ht="12" customHeight="1">
      <c r="A8" s="65"/>
      <c r="B8" s="145" t="str">
        <f>UPPER(LEFT(TRIM(Data!B8),1)) &amp; MID(TRIM(Data!B8),2,50)</f>
        <v>Stemplės</v>
      </c>
      <c r="C8" s="174" t="str">
        <f>Data!C8</f>
        <v>C15</v>
      </c>
      <c r="D8" s="175">
        <f>Data!DX8</f>
        <v>31</v>
      </c>
      <c r="E8" s="175">
        <f>Data!DY8</f>
        <v>22</v>
      </c>
      <c r="F8" s="175">
        <f>Data!DZ8</f>
        <v>11</v>
      </c>
      <c r="G8" s="175">
        <f>Data!EA8</f>
        <v>41</v>
      </c>
      <c r="H8" s="67"/>
    </row>
    <row r="9" spans="1:8" ht="12" customHeight="1">
      <c r="A9" s="65"/>
      <c r="B9" s="150" t="str">
        <f>UPPER(LEFT(TRIM(Data!B9),1)) &amp; MID(TRIM(Data!B9),2,50)</f>
        <v>Skrandžio</v>
      </c>
      <c r="C9" s="150" t="str">
        <f>Data!C9</f>
        <v>C16</v>
      </c>
      <c r="D9" s="169">
        <f>Data!DX9</f>
        <v>1248</v>
      </c>
      <c r="E9" s="169">
        <f>Data!DY9</f>
        <v>902</v>
      </c>
      <c r="F9" s="169">
        <f>Data!DZ9</f>
        <v>585</v>
      </c>
      <c r="G9" s="169">
        <f>Data!EA9</f>
        <v>1375</v>
      </c>
      <c r="H9" s="67"/>
    </row>
    <row r="10" spans="1:8" ht="12" customHeight="1">
      <c r="A10" s="65"/>
      <c r="B10" s="145" t="str">
        <f>UPPER(LEFT(TRIM(Data!B10),1)) &amp; MID(TRIM(Data!B10),2,50)</f>
        <v>Gaubtinės žarnos</v>
      </c>
      <c r="C10" s="174" t="str">
        <f>Data!C10</f>
        <v>C18</v>
      </c>
      <c r="D10" s="175">
        <f>Data!DX10</f>
        <v>2455</v>
      </c>
      <c r="E10" s="175">
        <f>Data!DY10</f>
        <v>1595</v>
      </c>
      <c r="F10" s="175">
        <f>Data!DZ10</f>
        <v>926</v>
      </c>
      <c r="G10" s="175">
        <f>Data!EA10</f>
        <v>2698</v>
      </c>
      <c r="H10" s="67"/>
    </row>
    <row r="11" spans="1:8" ht="12" customHeight="1">
      <c r="A11" s="65"/>
      <c r="B11" s="150" t="str">
        <f>UPPER(LEFT(TRIM(Data!B11),1)) &amp; MID(TRIM(Data!B11),2,50)</f>
        <v>Tiesiosios žarnos, išangės</v>
      </c>
      <c r="C11" s="150" t="str">
        <f>Data!C11</f>
        <v>C19-C21</v>
      </c>
      <c r="D11" s="169">
        <f>Data!DX11</f>
        <v>1883</v>
      </c>
      <c r="E11" s="169">
        <f>Data!DY11</f>
        <v>1277</v>
      </c>
      <c r="F11" s="169">
        <f>Data!DZ11</f>
        <v>701</v>
      </c>
      <c r="G11" s="169">
        <f>Data!EA11</f>
        <v>2045</v>
      </c>
      <c r="H11" s="67"/>
    </row>
    <row r="12" spans="1:8" ht="12" customHeight="1">
      <c r="A12" s="65"/>
      <c r="B12" s="145" t="str">
        <f>UPPER(LEFT(TRIM(Data!B12),1)) &amp; MID(TRIM(Data!B12),2,50)</f>
        <v>Kepenų</v>
      </c>
      <c r="C12" s="174" t="str">
        <f>Data!C12</f>
        <v>C22</v>
      </c>
      <c r="D12" s="175">
        <f>Data!DX12</f>
        <v>72</v>
      </c>
      <c r="E12" s="175">
        <f>Data!DY12</f>
        <v>41</v>
      </c>
      <c r="F12" s="175">
        <f>Data!DZ12</f>
        <v>24</v>
      </c>
      <c r="G12" s="175">
        <f>Data!EA12</f>
        <v>96</v>
      </c>
      <c r="H12" s="67"/>
    </row>
    <row r="13" spans="1:8" ht="12" customHeight="1">
      <c r="A13" s="65"/>
      <c r="B13" s="150" t="str">
        <f>UPPER(LEFT(TRIM(Data!B13),1)) &amp; MID(TRIM(Data!B13),2,50)</f>
        <v>Tulžies pūslės, ekstrahepatinių takų</v>
      </c>
      <c r="C13" s="150" t="str">
        <f>Data!C13</f>
        <v>C23, C24</v>
      </c>
      <c r="D13" s="169">
        <f>Data!DX13</f>
        <v>102</v>
      </c>
      <c r="E13" s="169">
        <f>Data!DY13</f>
        <v>68</v>
      </c>
      <c r="F13" s="169">
        <f>Data!DZ13</f>
        <v>36</v>
      </c>
      <c r="G13" s="169">
        <f>Data!EA13</f>
        <v>131</v>
      </c>
      <c r="H13" s="67"/>
    </row>
    <row r="14" spans="1:8" ht="12" customHeight="1">
      <c r="A14" s="65"/>
      <c r="B14" s="145" t="str">
        <f>UPPER(LEFT(TRIM(Data!B14),1)) &amp; MID(TRIM(Data!B14),2,50)</f>
        <v>Kasos</v>
      </c>
      <c r="C14" s="174" t="str">
        <f>Data!C14</f>
        <v>C25</v>
      </c>
      <c r="D14" s="175">
        <f>Data!DX14</f>
        <v>165</v>
      </c>
      <c r="E14" s="175">
        <f>Data!DY14</f>
        <v>86</v>
      </c>
      <c r="F14" s="175">
        <f>Data!DZ14</f>
        <v>41</v>
      </c>
      <c r="G14" s="175">
        <f>Data!EA14</f>
        <v>264</v>
      </c>
      <c r="H14" s="67"/>
    </row>
    <row r="15" spans="1:8" ht="12" customHeight="1">
      <c r="A15" s="65"/>
      <c r="B15" s="150" t="str">
        <f>UPPER(LEFT(TRIM(Data!B15),1)) &amp; MID(TRIM(Data!B15),2,50)</f>
        <v>Kitų virškinimo sistemos organų</v>
      </c>
      <c r="C15" s="150" t="str">
        <f>Data!C15</f>
        <v>C17, C26, C48</v>
      </c>
      <c r="D15" s="169">
        <f>Data!DX15</f>
        <v>147</v>
      </c>
      <c r="E15" s="169">
        <f>Data!DY15</f>
        <v>89</v>
      </c>
      <c r="F15" s="169">
        <f>Data!DZ15</f>
        <v>51</v>
      </c>
      <c r="G15" s="169">
        <f>Data!EA15</f>
        <v>162</v>
      </c>
      <c r="H15" s="67"/>
    </row>
    <row r="16" spans="1:8" ht="12" customHeight="1">
      <c r="A16" s="65"/>
      <c r="B16" s="145" t="str">
        <f>UPPER(LEFT(TRIM(Data!B16),1)) &amp; MID(TRIM(Data!B16),2,50)</f>
        <v>Nosies ertmės, vid.ausies ir ančių</v>
      </c>
      <c r="C16" s="174" t="str">
        <f>Data!C16</f>
        <v>C30, C31</v>
      </c>
      <c r="D16" s="175">
        <f>Data!DX16</f>
        <v>59</v>
      </c>
      <c r="E16" s="175">
        <f>Data!DY16</f>
        <v>36</v>
      </c>
      <c r="F16" s="175">
        <f>Data!DZ16</f>
        <v>23</v>
      </c>
      <c r="G16" s="175">
        <f>Data!EA16</f>
        <v>65</v>
      </c>
      <c r="H16" s="67"/>
    </row>
    <row r="17" spans="1:8" ht="12" customHeight="1">
      <c r="A17" s="65"/>
      <c r="B17" s="150" t="str">
        <f>UPPER(LEFT(TRIM(Data!B17),1)) &amp; MID(TRIM(Data!B17),2,50)</f>
        <v>Gerklų</v>
      </c>
      <c r="C17" s="150" t="str">
        <f>Data!C17</f>
        <v>C32</v>
      </c>
      <c r="D17" s="169">
        <f>Data!DX17</f>
        <v>66</v>
      </c>
      <c r="E17" s="169">
        <f>Data!DY17</f>
        <v>46</v>
      </c>
      <c r="F17" s="169">
        <f>Data!DZ17</f>
        <v>26</v>
      </c>
      <c r="G17" s="169">
        <f>Data!EA17</f>
        <v>73</v>
      </c>
      <c r="H17" s="67"/>
    </row>
    <row r="18" spans="1:8" ht="12" customHeight="1">
      <c r="A18" s="65"/>
      <c r="B18" s="145" t="str">
        <f>UPPER(LEFT(TRIM(Data!B18),1)) &amp; MID(TRIM(Data!B18),2,50)</f>
        <v>Plaučių, trachėjos, bronchų</v>
      </c>
      <c r="C18" s="174" t="str">
        <f>Data!C18</f>
        <v>C33, C34</v>
      </c>
      <c r="D18" s="175">
        <f>Data!DX18</f>
        <v>375</v>
      </c>
      <c r="E18" s="175">
        <f>Data!DY18</f>
        <v>214</v>
      </c>
      <c r="F18" s="175">
        <f>Data!DZ18</f>
        <v>119</v>
      </c>
      <c r="G18" s="175">
        <f>Data!EA18</f>
        <v>487</v>
      </c>
      <c r="H18" s="67"/>
    </row>
    <row r="19" spans="1:8" ht="12" customHeight="1">
      <c r="A19" s="65"/>
      <c r="B19" s="150" t="str">
        <f>UPPER(LEFT(TRIM(Data!B19),1)) &amp; MID(TRIM(Data!B19),2,50)</f>
        <v>Kitų kvėpavimo sistemos organų</v>
      </c>
      <c r="C19" s="150" t="str">
        <f>Data!C19</f>
        <v>C37-C39</v>
      </c>
      <c r="D19" s="169">
        <f>Data!DX19</f>
        <v>30</v>
      </c>
      <c r="E19" s="169">
        <f>Data!DY19</f>
        <v>25</v>
      </c>
      <c r="F19" s="169">
        <f>Data!DZ19</f>
        <v>16</v>
      </c>
      <c r="G19" s="169">
        <f>Data!EA19</f>
        <v>32</v>
      </c>
      <c r="H19" s="67"/>
    </row>
    <row r="20" spans="1:8" ht="12" customHeight="1">
      <c r="A20" s="65"/>
      <c r="B20" s="145" t="str">
        <f>UPPER(LEFT(TRIM(Data!B20),1)) &amp; MID(TRIM(Data!B20),2,50)</f>
        <v>Kaulų ir jungiamojo audinio</v>
      </c>
      <c r="C20" s="174" t="str">
        <f>Data!C20</f>
        <v>C40-C41, C45-C47, C49</v>
      </c>
      <c r="D20" s="175">
        <f>Data!DX20</f>
        <v>472</v>
      </c>
      <c r="E20" s="175">
        <f>Data!DY20</f>
        <v>366</v>
      </c>
      <c r="F20" s="175">
        <f>Data!DZ20</f>
        <v>226</v>
      </c>
      <c r="G20" s="175">
        <f>Data!EA20</f>
        <v>510</v>
      </c>
      <c r="H20" s="67"/>
    </row>
    <row r="21" spans="1:8" ht="12" customHeight="1">
      <c r="A21" s="65"/>
      <c r="B21" s="150" t="str">
        <f>UPPER(LEFT(TRIM(Data!B21),1)) &amp; MID(TRIM(Data!B21),2,50)</f>
        <v>Odos melanoma</v>
      </c>
      <c r="C21" s="150" t="str">
        <f>Data!C21</f>
        <v>C43</v>
      </c>
      <c r="D21" s="169">
        <f>Data!DX21</f>
        <v>1837</v>
      </c>
      <c r="E21" s="169">
        <f>Data!DY21</f>
        <v>1292</v>
      </c>
      <c r="F21" s="169">
        <f>Data!DZ21</f>
        <v>778</v>
      </c>
      <c r="G21" s="169">
        <f>Data!EA21</f>
        <v>2005</v>
      </c>
      <c r="H21" s="67"/>
    </row>
    <row r="22" spans="1:8" ht="12" customHeight="1">
      <c r="A22" s="65"/>
      <c r="B22" s="145" t="str">
        <f>UPPER(LEFT(TRIM(Data!B22),1)) &amp; MID(TRIM(Data!B22),2,50)</f>
        <v>Kiti odos piktybiniai navikai</v>
      </c>
      <c r="C22" s="174" t="str">
        <f>Data!C22</f>
        <v>C44</v>
      </c>
      <c r="D22" s="175">
        <f>Data!DX22</f>
        <v>6003</v>
      </c>
      <c r="E22" s="175">
        <f>Data!DY22</f>
        <v>1327</v>
      </c>
      <c r="F22" s="175">
        <f>Data!DZ22</f>
        <v>816</v>
      </c>
      <c r="G22" s="175">
        <f>Data!EA22</f>
        <v>7190</v>
      </c>
      <c r="H22" s="67"/>
    </row>
    <row r="23" spans="1:8" ht="12" customHeight="1">
      <c r="A23" s="65"/>
      <c r="B23" s="150" t="str">
        <f>UPPER(LEFT(TRIM(Data!B23),1)) &amp; MID(TRIM(Data!B23),2,50)</f>
        <v>Krūties</v>
      </c>
      <c r="C23" s="150" t="str">
        <f>Data!C23</f>
        <v>C50</v>
      </c>
      <c r="D23" s="169">
        <f>Data!DX23</f>
        <v>13982</v>
      </c>
      <c r="E23" s="169">
        <f>Data!DY23</f>
        <v>9577</v>
      </c>
      <c r="F23" s="169">
        <f>Data!DZ23</f>
        <v>5584</v>
      </c>
      <c r="G23" s="169">
        <f>Data!EA23</f>
        <v>15255</v>
      </c>
      <c r="H23" s="67"/>
    </row>
    <row r="24" spans="1:8" ht="12" customHeight="1">
      <c r="A24" s="65"/>
      <c r="B24" s="145" t="str">
        <f>UPPER(LEFT(TRIM(Data!B24),1)) &amp; MID(TRIM(Data!B24),2,50)</f>
        <v>Vulvos</v>
      </c>
      <c r="C24" s="174" t="str">
        <f>Data!C24</f>
        <v>C51</v>
      </c>
      <c r="D24" s="175">
        <f>Data!DX24</f>
        <v>273</v>
      </c>
      <c r="E24" s="175">
        <f>Data!DY24</f>
        <v>180</v>
      </c>
      <c r="F24" s="175">
        <f>Data!DZ24</f>
        <v>100</v>
      </c>
      <c r="G24" s="175">
        <f>Data!EA24</f>
        <v>310</v>
      </c>
      <c r="H24" s="67"/>
    </row>
    <row r="25" spans="1:8" ht="12" customHeight="1">
      <c r="A25" s="65"/>
      <c r="B25" s="150" t="str">
        <f>UPPER(LEFT(TRIM(Data!B25),1)) &amp; MID(TRIM(Data!B25),2,50)</f>
        <v>Gimdos kaklelio</v>
      </c>
      <c r="C25" s="150" t="str">
        <f>Data!C25</f>
        <v>C53</v>
      </c>
      <c r="D25" s="169">
        <f>Data!DX25</f>
        <v>4636</v>
      </c>
      <c r="E25" s="169">
        <f>Data!DY25</f>
        <v>3660</v>
      </c>
      <c r="F25" s="169">
        <f>Data!DZ25</f>
        <v>2404</v>
      </c>
      <c r="G25" s="169">
        <f>Data!EA25</f>
        <v>4901</v>
      </c>
      <c r="H25" s="67"/>
    </row>
    <row r="26" spans="1:8" ht="12" customHeight="1">
      <c r="A26" s="65"/>
      <c r="B26" s="145" t="str">
        <f>UPPER(LEFT(TRIM(Data!B26),1)) &amp; MID(TRIM(Data!B26),2,50)</f>
        <v>Gimdos kūno</v>
      </c>
      <c r="C26" s="174" t="str">
        <f>Data!C26</f>
        <v>C54, C55</v>
      </c>
      <c r="D26" s="175">
        <f>Data!DX26</f>
        <v>6346</v>
      </c>
      <c r="E26" s="175">
        <f>Data!DY26</f>
        <v>4571</v>
      </c>
      <c r="F26" s="175">
        <f>Data!DZ26</f>
        <v>2895</v>
      </c>
      <c r="G26" s="175">
        <f>Data!EA26</f>
        <v>6851</v>
      </c>
      <c r="H26" s="67"/>
    </row>
    <row r="27" spans="1:8" ht="12" customHeight="1">
      <c r="A27" s="65"/>
      <c r="B27" s="150" t="str">
        <f>UPPER(LEFT(TRIM(Data!B27),1)) &amp; MID(TRIM(Data!B27),2,50)</f>
        <v>Kiaušidžių</v>
      </c>
      <c r="C27" s="150" t="str">
        <f>Data!C27</f>
        <v>C56</v>
      </c>
      <c r="D27" s="169">
        <f>Data!DX27</f>
        <v>2301</v>
      </c>
      <c r="E27" s="169">
        <f>Data!DY27</f>
        <v>1619</v>
      </c>
      <c r="F27" s="169">
        <f>Data!DZ27</f>
        <v>1080</v>
      </c>
      <c r="G27" s="169">
        <f>Data!EA27</f>
        <v>2530</v>
      </c>
      <c r="H27" s="67"/>
    </row>
    <row r="28" spans="1:8" ht="12" customHeight="1">
      <c r="A28" s="65"/>
      <c r="B28" s="145" t="str">
        <f>UPPER(LEFT(TRIM(Data!B30),1)) &amp; MID(TRIM(Data!B30),2,50)</f>
        <v>Kitų lyties organų</v>
      </c>
      <c r="C28" s="174" t="s">
        <v>418</v>
      </c>
      <c r="D28" s="175">
        <f>Data!DX30</f>
        <v>172</v>
      </c>
      <c r="E28" s="175">
        <f>Data!DY30</f>
        <v>115</v>
      </c>
      <c r="F28" s="175">
        <f>Data!DZ30</f>
        <v>75</v>
      </c>
      <c r="G28" s="175">
        <f>Data!EA30</f>
        <v>187</v>
      </c>
      <c r="H28" s="67"/>
    </row>
    <row r="29" spans="1:8" ht="12" customHeight="1">
      <c r="A29" s="65"/>
      <c r="B29" s="150" t="str">
        <f>UPPER(LEFT(TRIM(Data!B31),1)) &amp; MID(TRIM(Data!B31),2,50)</f>
        <v>Inkstų</v>
      </c>
      <c r="C29" s="150" t="str">
        <f>Data!C31</f>
        <v>C64</v>
      </c>
      <c r="D29" s="169">
        <f>Data!DX31</f>
        <v>2239</v>
      </c>
      <c r="E29" s="169">
        <f>Data!DY31</f>
        <v>1579</v>
      </c>
      <c r="F29" s="169">
        <f>Data!DZ31</f>
        <v>869</v>
      </c>
      <c r="G29" s="169">
        <f>Data!EA31</f>
        <v>2426</v>
      </c>
      <c r="H29" s="67"/>
    </row>
    <row r="30" spans="1:8" ht="12" customHeight="1">
      <c r="A30" s="65"/>
      <c r="B30" s="145" t="str">
        <f>UPPER(LEFT(TRIM(Data!B32),1)) &amp; MID(TRIM(Data!B32),2,50)</f>
        <v>Šlapimo pūslės</v>
      </c>
      <c r="C30" s="174" t="str">
        <f>Data!C32</f>
        <v>C67</v>
      </c>
      <c r="D30" s="175">
        <f>Data!DX32</f>
        <v>531</v>
      </c>
      <c r="E30" s="175">
        <f>Data!DY32</f>
        <v>402</v>
      </c>
      <c r="F30" s="175">
        <f>Data!DZ32</f>
        <v>251</v>
      </c>
      <c r="G30" s="175">
        <f>Data!EA32</f>
        <v>578</v>
      </c>
      <c r="H30" s="67"/>
    </row>
    <row r="31" spans="1:8" ht="12" customHeight="1">
      <c r="A31" s="65"/>
      <c r="B31" s="150" t="str">
        <f>UPPER(LEFT(TRIM(Data!B33),1)) &amp; MID(TRIM(Data!B33),2,50)</f>
        <v>Kitų šlapimą išskiriančių organų</v>
      </c>
      <c r="C31" s="150" t="str">
        <f>Data!C33</f>
        <v>C65, C66, C68</v>
      </c>
      <c r="D31" s="169">
        <f>Data!DX33</f>
        <v>69</v>
      </c>
      <c r="E31" s="169">
        <f>Data!DY33</f>
        <v>50</v>
      </c>
      <c r="F31" s="169">
        <f>Data!DZ33</f>
        <v>24</v>
      </c>
      <c r="G31" s="169">
        <f>Data!EA33</f>
        <v>80</v>
      </c>
      <c r="H31" s="67"/>
    </row>
    <row r="32" spans="1:8" ht="12" customHeight="1">
      <c r="A32" s="65"/>
      <c r="B32" s="145" t="str">
        <f>UPPER(LEFT(TRIM(Data!B34),1)) &amp; MID(TRIM(Data!B34),2,50)</f>
        <v>Akių</v>
      </c>
      <c r="C32" s="174" t="str">
        <f>Data!C34</f>
        <v>C69</v>
      </c>
      <c r="D32" s="175">
        <f>Data!DX34</f>
        <v>157</v>
      </c>
      <c r="E32" s="175">
        <f>Data!DY34</f>
        <v>108</v>
      </c>
      <c r="F32" s="175">
        <f>Data!DZ34</f>
        <v>76</v>
      </c>
      <c r="G32" s="175">
        <f>Data!EA34</f>
        <v>171</v>
      </c>
      <c r="H32" s="67"/>
    </row>
    <row r="33" spans="1:8" ht="12" customHeight="1">
      <c r="A33" s="65"/>
      <c r="B33" s="150" t="str">
        <f>UPPER(LEFT(TRIM(Data!B35),1)) &amp; MID(TRIM(Data!B35),2,50)</f>
        <v>Smegenų</v>
      </c>
      <c r="C33" s="150" t="str">
        <f>Data!C35</f>
        <v>C70-C72</v>
      </c>
      <c r="D33" s="169">
        <f>Data!DX35</f>
        <v>384</v>
      </c>
      <c r="E33" s="169">
        <f>Data!DY35</f>
        <v>252</v>
      </c>
      <c r="F33" s="169">
        <f>Data!DZ35</f>
        <v>149</v>
      </c>
      <c r="G33" s="169">
        <f>Data!EA35</f>
        <v>446</v>
      </c>
      <c r="H33" s="67"/>
    </row>
    <row r="34" spans="1:8" ht="12" customHeight="1">
      <c r="A34" s="65"/>
      <c r="B34" s="145" t="str">
        <f>UPPER(LEFT(TRIM(Data!B36),1)) &amp; MID(TRIM(Data!B36),2,50)</f>
        <v>Skydliaukės</v>
      </c>
      <c r="C34" s="174" t="str">
        <f>Data!C36</f>
        <v>C73</v>
      </c>
      <c r="D34" s="175">
        <f>Data!DX36</f>
        <v>3895</v>
      </c>
      <c r="E34" s="175">
        <f>Data!DY36</f>
        <v>2913</v>
      </c>
      <c r="F34" s="175">
        <f>Data!DZ36</f>
        <v>1627</v>
      </c>
      <c r="G34" s="175">
        <f>Data!EA36</f>
        <v>4151</v>
      </c>
      <c r="H34" s="67"/>
    </row>
    <row r="35" spans="1:8" ht="12" customHeight="1">
      <c r="A35" s="65"/>
      <c r="B35" s="150" t="str">
        <f>UPPER(LEFT(TRIM(Data!B37),1)) &amp; MID(TRIM(Data!B37),2,50)</f>
        <v>Kitų endokrininių liaukų</v>
      </c>
      <c r="C35" s="150" t="str">
        <f>Data!C37</f>
        <v>C74-C75</v>
      </c>
      <c r="D35" s="169">
        <f>Data!DX37</f>
        <v>73</v>
      </c>
      <c r="E35" s="169">
        <f>Data!DY37</f>
        <v>61</v>
      </c>
      <c r="F35" s="169">
        <f>Data!DZ37</f>
        <v>38</v>
      </c>
      <c r="G35" s="169">
        <f>Data!EA37</f>
        <v>77</v>
      </c>
      <c r="H35" s="67"/>
    </row>
    <row r="36" spans="1:8" ht="12" customHeight="1">
      <c r="A36" s="65"/>
      <c r="B36" s="145" t="str">
        <f>UPPER(LEFT(TRIM(Data!B38),1)) &amp; MID(TRIM(Data!B38),2,50)</f>
        <v>Nepatikslintos lokalizacijos</v>
      </c>
      <c r="C36" s="174" t="str">
        <f>Data!C38</f>
        <v>C76-C80</v>
      </c>
      <c r="D36" s="175">
        <f>Data!DX38</f>
        <v>210</v>
      </c>
      <c r="E36" s="175">
        <f>Data!DY38</f>
        <v>150</v>
      </c>
      <c r="F36" s="175">
        <f>Data!DZ38</f>
        <v>90</v>
      </c>
      <c r="G36" s="175">
        <f>Data!EA38</f>
        <v>247</v>
      </c>
      <c r="H36" s="67"/>
    </row>
    <row r="37" spans="1:8" ht="12" customHeight="1">
      <c r="A37" s="65"/>
      <c r="B37" s="150" t="str">
        <f>UPPER(LEFT(TRIM(Data!B39),1)) &amp; MID(TRIM(Data!B39),2,50)</f>
        <v>Hodžkino limfomos</v>
      </c>
      <c r="C37" s="150" t="str">
        <f>Data!C39</f>
        <v>C81</v>
      </c>
      <c r="D37" s="169">
        <f>Data!DX39</f>
        <v>662</v>
      </c>
      <c r="E37" s="169">
        <f>Data!DY39</f>
        <v>572</v>
      </c>
      <c r="F37" s="169">
        <f>Data!DZ39</f>
        <v>415</v>
      </c>
      <c r="G37" s="169">
        <f>Data!EA39</f>
        <v>687</v>
      </c>
      <c r="H37" s="67"/>
    </row>
    <row r="38" spans="1:8" ht="12" customHeight="1">
      <c r="A38" s="65"/>
      <c r="B38" s="145" t="str">
        <f>UPPER(LEFT(TRIM(Data!B40),1)) &amp; MID(TRIM(Data!B40),2,50)</f>
        <v>Ne Hodžkino limfomos</v>
      </c>
      <c r="C38" s="174" t="str">
        <f>Data!C40</f>
        <v>C82-C85</v>
      </c>
      <c r="D38" s="175">
        <f>Data!DX40</f>
        <v>1103</v>
      </c>
      <c r="E38" s="175">
        <f>Data!DY40</f>
        <v>690</v>
      </c>
      <c r="F38" s="175">
        <f>Data!DZ40</f>
        <v>353</v>
      </c>
      <c r="G38" s="175">
        <f>Data!EA40</f>
        <v>1227</v>
      </c>
      <c r="H38" s="67"/>
    </row>
    <row r="39" spans="1:8" ht="12" customHeight="1">
      <c r="A39" s="65"/>
      <c r="B39" s="150" t="str">
        <f>UPPER(LEFT(TRIM(Data!B41),1)) &amp; MID(TRIM(Data!B41),2,50)</f>
        <v>Mielominės ligos</v>
      </c>
      <c r="C39" s="150" t="str">
        <f>Data!C41</f>
        <v>C90</v>
      </c>
      <c r="D39" s="169">
        <f>Data!DX41</f>
        <v>319</v>
      </c>
      <c r="E39" s="169">
        <f>Data!DY41</f>
        <v>162</v>
      </c>
      <c r="F39" s="169">
        <f>Data!DZ41</f>
        <v>75</v>
      </c>
      <c r="G39" s="169">
        <f>Data!EA41</f>
        <v>369</v>
      </c>
      <c r="H39" s="67"/>
    </row>
    <row r="40" spans="1:8" ht="12" customHeight="1">
      <c r="A40" s="65"/>
      <c r="B40" s="145" t="str">
        <f>UPPER(LEFT(TRIM(Data!B42),1)) &amp; MID(TRIM(Data!B42),2,50)</f>
        <v>Leukemijos</v>
      </c>
      <c r="C40" s="174" t="str">
        <f>Data!C42</f>
        <v>C91-C95</v>
      </c>
      <c r="D40" s="175">
        <f>Data!DX42</f>
        <v>1157</v>
      </c>
      <c r="E40" s="175">
        <f>Data!DY42</f>
        <v>732</v>
      </c>
      <c r="F40" s="175">
        <f>Data!DZ42</f>
        <v>391</v>
      </c>
      <c r="G40" s="175">
        <f>Data!EA42</f>
        <v>1263</v>
      </c>
      <c r="H40" s="67"/>
    </row>
    <row r="41" spans="1:8" ht="12" customHeight="1">
      <c r="A41" s="65"/>
      <c r="B41" s="150" t="str">
        <f>UPPER(LEFT(TRIM(Data!B43),1)) &amp; MID(TRIM(Data!B43),2,50)</f>
        <v>Kiti limfinio, kraujodaros audinių</v>
      </c>
      <c r="C41" s="150" t="str">
        <f>Data!C43</f>
        <v>C88, C96</v>
      </c>
      <c r="D41" s="169">
        <f>Data!DX43</f>
        <v>38</v>
      </c>
      <c r="E41" s="169">
        <f>Data!DY43</f>
        <v>23</v>
      </c>
      <c r="F41" s="169">
        <f>Data!DZ43</f>
        <v>17</v>
      </c>
      <c r="G41" s="169">
        <f>Data!EA43</f>
        <v>42</v>
      </c>
      <c r="H41" s="67"/>
    </row>
    <row r="42" spans="1:8" ht="22.5" customHeight="1">
      <c r="A42" s="65"/>
      <c r="B42" s="110"/>
      <c r="C42" s="120"/>
      <c r="D42" s="121"/>
      <c r="E42" s="121"/>
      <c r="F42" s="121"/>
      <c r="G42" s="121"/>
      <c r="H42" s="67"/>
    </row>
    <row r="43" spans="1:8" ht="11.25" customHeight="1">
      <c r="A43" s="65"/>
      <c r="B43" s="97" t="str">
        <f>UPPER(LEFT(TRIM(Data!B44),1)) &amp; MID(TRIM(Data!B44),2,50)</f>
        <v>Melanoma in situ</v>
      </c>
      <c r="C43" s="97" t="str">
        <f>Data!C44</f>
        <v>D03</v>
      </c>
      <c r="D43" s="114">
        <f>Data!DX44</f>
        <v>189</v>
      </c>
      <c r="E43" s="114">
        <f>Data!DY44</f>
        <v>100</v>
      </c>
      <c r="F43" s="114">
        <f>Data!DZ44</f>
        <v>31</v>
      </c>
      <c r="G43" s="114">
        <f>Data!EA44</f>
        <v>215</v>
      </c>
      <c r="H43" s="67"/>
    </row>
    <row r="44" spans="1:8" ht="11.25" customHeight="1">
      <c r="A44" s="65"/>
      <c r="B44" s="105" t="str">
        <f>UPPER(LEFT(TRIM(Data!B45),1)) &amp; MID(TRIM(Data!B45),2,50)</f>
        <v>Krūties navikai in situ</v>
      </c>
      <c r="C44" s="109" t="str">
        <f>Data!C45</f>
        <v>D05</v>
      </c>
      <c r="D44" s="119">
        <f>Data!DX45</f>
        <v>651</v>
      </c>
      <c r="E44" s="119">
        <f>Data!DY45</f>
        <v>369</v>
      </c>
      <c r="F44" s="119">
        <f>Data!DZ45</f>
        <v>125</v>
      </c>
      <c r="G44" s="119">
        <f>Data!EA45</f>
        <v>724</v>
      </c>
      <c r="H44" s="67"/>
    </row>
    <row r="45" spans="1:8" ht="11.25" customHeight="1">
      <c r="A45" s="65"/>
      <c r="B45" s="103" t="str">
        <f>UPPER(LEFT(TRIM(Data!B46),1)) &amp; MID(TRIM(Data!B46),2,50)</f>
        <v>Gimdos kaklelio in situ</v>
      </c>
      <c r="C45" s="103" t="str">
        <f>Data!C46</f>
        <v>D06</v>
      </c>
      <c r="D45" s="122">
        <f>Data!DX46</f>
        <v>6261</v>
      </c>
      <c r="E45" s="122">
        <f>Data!DY46</f>
        <v>3631</v>
      </c>
      <c r="F45" s="122">
        <f>Data!DZ46</f>
        <v>1058</v>
      </c>
      <c r="G45" s="122">
        <f>Data!EA46</f>
        <v>6907</v>
      </c>
      <c r="H45" s="67"/>
    </row>
    <row r="46" spans="1:8" ht="11.25" customHeight="1">
      <c r="A46" s="65"/>
      <c r="B46" s="105" t="str">
        <f>UPPER(LEFT(TRIM(Data!B47),1)) &amp; MID(TRIM(Data!B47),2,50)</f>
        <v>Šlapimo pūslės in situ</v>
      </c>
      <c r="C46" s="109" t="str">
        <f>Data!C47</f>
        <v>D09.0</v>
      </c>
      <c r="D46" s="119">
        <f>Data!DX47</f>
        <v>231</v>
      </c>
      <c r="E46" s="119">
        <f>Data!DY47</f>
        <v>119</v>
      </c>
      <c r="F46" s="119">
        <f>Data!DZ47</f>
        <v>37</v>
      </c>
      <c r="G46" s="119">
        <f>Data!EA47</f>
        <v>261</v>
      </c>
      <c r="H46" s="67"/>
    </row>
    <row r="47" spans="1:8" ht="11.25" customHeight="1">
      <c r="A47" s="65"/>
      <c r="B47" s="103" t="str">
        <f>UPPER(LEFT(TRIM(Data!B48),1)) &amp; MID(TRIM(Data!B48),2,50)</f>
        <v>Nervų sistemos gerybiniai navikai</v>
      </c>
      <c r="C47" s="103" t="str">
        <f>Data!C48</f>
        <v>D32, D33</v>
      </c>
      <c r="D47" s="122">
        <f>Data!DX48</f>
        <v>309</v>
      </c>
      <c r="E47" s="122">
        <f>Data!DY48</f>
        <v>51</v>
      </c>
      <c r="F47" s="122">
        <f>Data!DZ48</f>
        <v>16</v>
      </c>
      <c r="G47" s="122">
        <f>Data!EA48</f>
        <v>416</v>
      </c>
      <c r="H47" s="67"/>
    </row>
    <row r="48" spans="1:8" ht="11.25" customHeight="1">
      <c r="A48" s="65"/>
      <c r="B48" s="105" t="str">
        <f>UPPER(LEFT(TRIM(Data!B49),1)) &amp; MID(TRIM(Data!B49),2,50)</f>
        <v>Kiaušidžių</v>
      </c>
      <c r="C48" s="109" t="str">
        <f>Data!C49</f>
        <v>D39.1</v>
      </c>
      <c r="D48" s="119">
        <f>Data!DX49</f>
        <v>441</v>
      </c>
      <c r="E48" s="119">
        <f>Data!DY49</f>
        <v>252</v>
      </c>
      <c r="F48" s="119">
        <f>Data!DZ49</f>
        <v>77</v>
      </c>
      <c r="G48" s="119">
        <f>Data!EA49</f>
        <v>500</v>
      </c>
      <c r="H48" s="67"/>
    </row>
    <row r="49" spans="1:8" ht="11.25" customHeight="1">
      <c r="A49" s="65"/>
      <c r="B49" s="103" t="str">
        <f>UPPER(LEFT(TRIM(Data!B50),1)) &amp; MID(TRIM(Data!B50),2,50)</f>
        <v>Kiti nervų sistemos</v>
      </c>
      <c r="C49" s="103" t="str">
        <f>Data!C50</f>
        <v>D42, D43</v>
      </c>
      <c r="D49" s="122">
        <f>Data!DX50</f>
        <v>69</v>
      </c>
      <c r="E49" s="122">
        <f>Data!DY50</f>
        <v>20</v>
      </c>
      <c r="F49" s="122">
        <f>Data!DZ50</f>
        <v>8</v>
      </c>
      <c r="G49" s="122">
        <f>Data!EA50</f>
        <v>82</v>
      </c>
      <c r="H49" s="67"/>
    </row>
    <row r="50" spans="1:8" ht="11.25" customHeight="1">
      <c r="A50" s="65"/>
      <c r="B50" s="105" t="str">
        <f>UPPER(LEFT(TRIM(Data!B51),1)) &amp; MID(TRIM(Data!B51),2,50)</f>
        <v>Limfinio ir kraujodaros audinių</v>
      </c>
      <c r="C50" s="109" t="str">
        <f>Data!C51</f>
        <v>D45-D47</v>
      </c>
      <c r="D50" s="119">
        <f>Data!DX51</f>
        <v>1067</v>
      </c>
      <c r="E50" s="119">
        <f>Data!DY51</f>
        <v>514</v>
      </c>
      <c r="F50" s="119">
        <f>Data!DZ51</f>
        <v>90</v>
      </c>
      <c r="G50" s="119">
        <f>Data!EA51</f>
        <v>1238</v>
      </c>
      <c r="H50" s="67"/>
    </row>
    <row r="51" spans="1:8">
      <c r="A51" s="67"/>
      <c r="B51" s="67"/>
      <c r="C51" s="67"/>
      <c r="D51" s="67"/>
      <c r="E51" s="67"/>
      <c r="F51" s="67"/>
      <c r="G51" s="67"/>
      <c r="H51" s="67"/>
    </row>
    <row r="52" spans="1:8">
      <c r="A52" s="67"/>
      <c r="B52" s="67"/>
      <c r="C52" s="67"/>
      <c r="D52" s="67"/>
      <c r="E52" s="67"/>
      <c r="F52" s="67"/>
      <c r="G52" s="67"/>
      <c r="H52" s="67"/>
    </row>
  </sheetData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 tint="0.39997558519241921"/>
  </sheetPr>
  <dimension ref="A1:U39"/>
  <sheetViews>
    <sheetView zoomScaleNormal="100"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18.7109375" customWidth="1"/>
    <col min="6" max="6" width="3.28515625" customWidth="1"/>
    <col min="7" max="15" width="0.85546875" customWidth="1"/>
  </cols>
  <sheetData>
    <row r="1" spans="1:21" ht="15">
      <c r="A1" s="29"/>
      <c r="B1" s="474" t="s">
        <v>403</v>
      </c>
      <c r="C1" s="474"/>
      <c r="D1" s="474"/>
      <c r="E1" s="474"/>
      <c r="F1" s="30"/>
    </row>
    <row r="2" spans="1:21" ht="12.75" customHeight="1">
      <c r="A2" s="29"/>
      <c r="B2" s="452" t="str">
        <f>"Vyrų reliatyvus išgyvenamumas  " &amp; GrafikaiSerg!A1 &amp; " metais,"</f>
        <v>Vyrų reliatyvus išgyvenamumas  2015 metais,</v>
      </c>
      <c r="C2" s="452"/>
      <c r="D2" s="427" t="s">
        <v>629</v>
      </c>
      <c r="E2" s="427"/>
      <c r="F2" s="30"/>
    </row>
    <row r="3" spans="1:21" ht="12.75" customHeight="1">
      <c r="A3" s="29"/>
      <c r="B3" s="63" t="s">
        <v>630</v>
      </c>
      <c r="C3" s="57"/>
      <c r="D3" s="29"/>
      <c r="E3" s="29"/>
      <c r="F3" s="30"/>
    </row>
    <row r="4" spans="1:21" ht="26.1" customHeight="1" thickBot="1">
      <c r="A4" s="29"/>
      <c r="B4" s="178" t="s">
        <v>243</v>
      </c>
      <c r="C4" s="178" t="s">
        <v>244</v>
      </c>
      <c r="D4" s="386" t="s">
        <v>420</v>
      </c>
      <c r="E4" s="386" t="s">
        <v>421</v>
      </c>
      <c r="F4" s="30"/>
      <c r="P4" s="369" t="s">
        <v>440</v>
      </c>
      <c r="Q4" s="369"/>
      <c r="R4" s="126"/>
      <c r="S4" s="126"/>
      <c r="T4" s="126"/>
      <c r="U4" s="126"/>
    </row>
    <row r="5" spans="1:21" ht="12" customHeight="1" thickTop="1">
      <c r="A5" s="29"/>
      <c r="B5" s="129" t="str">
        <f>UPPER(LEFT(TRIM(Data!B6),1)) &amp; MID(TRIM(Data!B6),2,50)</f>
        <v>Lūpos</v>
      </c>
      <c r="C5" s="181" t="str">
        <f>Data!C6</f>
        <v>C00</v>
      </c>
      <c r="D5" s="387" t="s">
        <v>576</v>
      </c>
      <c r="E5" s="387" t="s">
        <v>449</v>
      </c>
      <c r="F5" s="30"/>
      <c r="P5" s="318">
        <v>25</v>
      </c>
      <c r="Q5" s="370"/>
      <c r="R5" s="127"/>
      <c r="S5" s="128"/>
      <c r="T5" s="126"/>
    </row>
    <row r="6" spans="1:21" ht="12" customHeight="1">
      <c r="A6" s="29"/>
      <c r="B6" s="151" t="str">
        <f>UPPER(LEFT(TRIM(Data!B7),1)) &amp; MID(TRIM(Data!B7),2,50)</f>
        <v>Burnos ertmės ir ryklės</v>
      </c>
      <c r="C6" s="151" t="str">
        <f>Data!C7</f>
        <v>C01-C14</v>
      </c>
      <c r="D6" s="387" t="s">
        <v>535</v>
      </c>
      <c r="E6" s="387" t="s">
        <v>536</v>
      </c>
      <c r="F6" s="30"/>
      <c r="P6" s="318">
        <v>234</v>
      </c>
      <c r="Q6" s="370"/>
      <c r="R6" s="127"/>
      <c r="S6" s="128"/>
      <c r="T6" s="126"/>
    </row>
    <row r="7" spans="1:21" ht="12" customHeight="1">
      <c r="A7" s="29"/>
      <c r="B7" s="129" t="str">
        <f>UPPER(LEFT(TRIM(Data!B8),1)) &amp; MID(TRIM(Data!B8),2,50)</f>
        <v>Stemplės</v>
      </c>
      <c r="C7" s="181" t="str">
        <f>Data!C8</f>
        <v>C15</v>
      </c>
      <c r="D7" s="387" t="s">
        <v>537</v>
      </c>
      <c r="E7" s="387" t="s">
        <v>571</v>
      </c>
      <c r="F7" s="30"/>
      <c r="P7" s="318">
        <v>133</v>
      </c>
      <c r="Q7" s="370"/>
      <c r="R7" s="127"/>
      <c r="S7" s="128"/>
      <c r="T7" s="126"/>
    </row>
    <row r="8" spans="1:21" ht="12" customHeight="1">
      <c r="A8" s="29"/>
      <c r="B8" s="151" t="str">
        <f>UPPER(LEFT(TRIM(Data!B9),1)) &amp; MID(TRIM(Data!B9),2,50)</f>
        <v>Skrandžio</v>
      </c>
      <c r="C8" s="151" t="str">
        <f>Data!C9</f>
        <v>C16</v>
      </c>
      <c r="D8" s="387" t="s">
        <v>538</v>
      </c>
      <c r="E8" s="387" t="s">
        <v>539</v>
      </c>
      <c r="F8" s="30"/>
      <c r="P8" s="318">
        <v>476</v>
      </c>
      <c r="Q8" s="370"/>
      <c r="R8" s="127"/>
      <c r="S8" s="128"/>
      <c r="T8" s="126"/>
    </row>
    <row r="9" spans="1:21" ht="12" customHeight="1">
      <c r="A9" s="29"/>
      <c r="B9" s="129" t="str">
        <f>UPPER(LEFT(TRIM(Data!B10),1)) &amp; MID(TRIM(Data!B10),2,50)</f>
        <v>Gaubtinės žarnos</v>
      </c>
      <c r="C9" s="181" t="str">
        <f>Data!C10</f>
        <v>C18</v>
      </c>
      <c r="D9" s="387" t="s">
        <v>540</v>
      </c>
      <c r="E9" s="387" t="s">
        <v>541</v>
      </c>
      <c r="F9" s="30"/>
      <c r="P9" s="318">
        <v>284</v>
      </c>
      <c r="Q9" s="370"/>
      <c r="R9" s="127"/>
      <c r="S9" s="128"/>
      <c r="T9" s="126"/>
    </row>
    <row r="10" spans="1:21" ht="12" customHeight="1">
      <c r="A10" s="29"/>
      <c r="B10" s="151" t="str">
        <f>UPPER(LEFT(TRIM(Data!B11),1)) &amp; MID(TRIM(Data!B11),2,50)</f>
        <v>Tiesiosios žarnos, išangės</v>
      </c>
      <c r="C10" s="151" t="str">
        <f>Data!C11</f>
        <v>C19-C21</v>
      </c>
      <c r="D10" s="387" t="s">
        <v>542</v>
      </c>
      <c r="E10" s="387" t="s">
        <v>543</v>
      </c>
      <c r="F10" s="30"/>
      <c r="P10" s="318">
        <v>328</v>
      </c>
      <c r="Q10" s="370"/>
      <c r="R10" s="127"/>
      <c r="S10" s="128"/>
      <c r="T10" s="126"/>
    </row>
    <row r="11" spans="1:21" ht="12" customHeight="1">
      <c r="A11" s="29"/>
      <c r="B11" s="129" t="str">
        <f>UPPER(LEFT(TRIM(Data!B12),1)) &amp; MID(TRIM(Data!B12),2,50)</f>
        <v>Kepenų</v>
      </c>
      <c r="C11" s="181" t="str">
        <f>Data!C12</f>
        <v>C22</v>
      </c>
      <c r="D11" s="387" t="s">
        <v>544</v>
      </c>
      <c r="E11" s="387" t="s">
        <v>545</v>
      </c>
      <c r="F11" s="30"/>
      <c r="P11" s="318">
        <v>91</v>
      </c>
      <c r="Q11" s="370"/>
      <c r="R11" s="127"/>
      <c r="S11" s="128"/>
      <c r="T11" s="126"/>
    </row>
    <row r="12" spans="1:21" ht="12" customHeight="1">
      <c r="A12" s="29"/>
      <c r="B12" s="151" t="str">
        <f>UPPER(LEFT(TRIM(Data!B13),1)) &amp; MID(TRIM(Data!B13),2,50)</f>
        <v>Tulžies pūslės, ekstrahepatinių takų</v>
      </c>
      <c r="C12" s="151" t="str">
        <f>Data!C13</f>
        <v>C23, C24</v>
      </c>
      <c r="D12" s="387" t="s">
        <v>577</v>
      </c>
      <c r="E12" s="387" t="s">
        <v>578</v>
      </c>
      <c r="F12" s="30"/>
      <c r="P12" s="318">
        <v>33</v>
      </c>
      <c r="Q12" s="370"/>
      <c r="R12" s="127"/>
      <c r="S12" s="128"/>
      <c r="T12" s="126"/>
    </row>
    <row r="13" spans="1:21" ht="12" customHeight="1">
      <c r="A13" s="29"/>
      <c r="B13" s="129" t="str">
        <f>UPPER(LEFT(TRIM(Data!B14),1)) &amp; MID(TRIM(Data!B14),2,50)</f>
        <v>Kasos</v>
      </c>
      <c r="C13" s="181" t="str">
        <f>Data!C14</f>
        <v>C25</v>
      </c>
      <c r="D13" s="387" t="s">
        <v>546</v>
      </c>
      <c r="E13" s="387" t="s">
        <v>547</v>
      </c>
      <c r="F13" s="30"/>
      <c r="P13" s="318">
        <v>200</v>
      </c>
      <c r="Q13" s="370"/>
      <c r="R13" s="127"/>
      <c r="S13" s="128"/>
      <c r="T13" s="126"/>
    </row>
    <row r="14" spans="1:21" ht="12" customHeight="1">
      <c r="A14" s="29"/>
      <c r="B14" s="151" t="str">
        <f>UPPER(LEFT(TRIM(Data!B15),1)) &amp; MID(TRIM(Data!B15),2,50)</f>
        <v>Kitų virškinimo sistemos organų</v>
      </c>
      <c r="C14" s="151" t="str">
        <f>Data!C15</f>
        <v>C17, C26, C48</v>
      </c>
      <c r="D14" s="387" t="s">
        <v>579</v>
      </c>
      <c r="E14" s="387" t="s">
        <v>580</v>
      </c>
      <c r="F14" s="30"/>
      <c r="P14" s="318">
        <v>26</v>
      </c>
      <c r="Q14" s="370"/>
      <c r="R14" s="127"/>
      <c r="S14" s="128"/>
      <c r="T14" s="126"/>
    </row>
    <row r="15" spans="1:21" ht="12" customHeight="1">
      <c r="A15" s="29"/>
      <c r="B15" s="129" t="str">
        <f>UPPER(LEFT(TRIM(Data!B16),1)) &amp; MID(TRIM(Data!B16),2,50)</f>
        <v>Nosies ertmės, vid.ausies ir ančių</v>
      </c>
      <c r="C15" s="181" t="str">
        <f>Data!C16</f>
        <v>C30, C31</v>
      </c>
      <c r="D15" s="387" t="s">
        <v>581</v>
      </c>
      <c r="E15" s="387" t="s">
        <v>582</v>
      </c>
      <c r="F15" s="30"/>
      <c r="P15" s="318">
        <v>14</v>
      </c>
      <c r="Q15" s="370"/>
      <c r="R15" s="127"/>
      <c r="S15" s="128"/>
      <c r="T15" s="126"/>
    </row>
    <row r="16" spans="1:21" ht="12" customHeight="1">
      <c r="A16" s="29"/>
      <c r="B16" s="151" t="str">
        <f>UPPER(LEFT(TRIM(Data!B17),1)) &amp; MID(TRIM(Data!B17),2,50)</f>
        <v>Gerklų</v>
      </c>
      <c r="C16" s="151" t="str">
        <f>Data!C17</f>
        <v>C32</v>
      </c>
      <c r="D16" s="387" t="s">
        <v>548</v>
      </c>
      <c r="E16" s="387" t="s">
        <v>549</v>
      </c>
      <c r="F16" s="30"/>
      <c r="P16" s="318">
        <v>188</v>
      </c>
      <c r="Q16" s="370"/>
      <c r="R16" s="127"/>
      <c r="S16" s="128"/>
      <c r="T16" s="126"/>
    </row>
    <row r="17" spans="1:20" ht="12" customHeight="1">
      <c r="A17" s="29"/>
      <c r="B17" s="129" t="str">
        <f>UPPER(LEFT(TRIM(Data!B18),1)) &amp; MID(TRIM(Data!B18),2,50)</f>
        <v>Plaučių, trachėjos, bronchų</v>
      </c>
      <c r="C17" s="181" t="str">
        <f>Data!C18</f>
        <v>C33, C34</v>
      </c>
      <c r="D17" s="387" t="s">
        <v>572</v>
      </c>
      <c r="E17" s="387" t="s">
        <v>550</v>
      </c>
      <c r="F17" s="30"/>
      <c r="P17" s="318">
        <v>1052</v>
      </c>
      <c r="Q17" s="370"/>
      <c r="R17" s="127"/>
      <c r="S17" s="128"/>
      <c r="T17" s="126"/>
    </row>
    <row r="18" spans="1:20" ht="12" customHeight="1">
      <c r="A18" s="29"/>
      <c r="B18" s="151" t="str">
        <f>UPPER(LEFT(TRIM(Data!B19),1)) &amp; MID(TRIM(Data!B19),2,50)</f>
        <v>Kitų kvėpavimo sistemos organų</v>
      </c>
      <c r="C18" s="151" t="str">
        <f>Data!C19</f>
        <v>C37-C39</v>
      </c>
      <c r="D18" s="387" t="s">
        <v>583</v>
      </c>
      <c r="E18" s="387" t="s">
        <v>584</v>
      </c>
      <c r="F18" s="30"/>
      <c r="P18" s="318">
        <v>8</v>
      </c>
      <c r="Q18" s="370"/>
      <c r="R18" s="127"/>
      <c r="S18" s="128"/>
      <c r="T18" s="126"/>
    </row>
    <row r="19" spans="1:20" ht="12" customHeight="1">
      <c r="A19" s="29"/>
      <c r="B19" s="129" t="str">
        <f>UPPER(LEFT(TRIM(Data!B20),1)) &amp; MID(TRIM(Data!B20),2,50)</f>
        <v>Kaulų ir jungiamojo audinio</v>
      </c>
      <c r="C19" s="181" t="str">
        <f>Data!C20</f>
        <v>C40-C41, C45-C47, C49</v>
      </c>
      <c r="D19" s="387" t="s">
        <v>551</v>
      </c>
      <c r="E19" s="387" t="s">
        <v>552</v>
      </c>
      <c r="F19" s="30"/>
      <c r="P19" s="318">
        <v>56</v>
      </c>
      <c r="Q19" s="370"/>
      <c r="R19" s="127"/>
      <c r="S19" s="128"/>
      <c r="T19" s="126"/>
    </row>
    <row r="20" spans="1:20" ht="12" customHeight="1">
      <c r="A20" s="29"/>
      <c r="B20" s="151" t="str">
        <f>UPPER(LEFT(TRIM(Data!B21),1)) &amp; MID(TRIM(Data!B21),2,50)</f>
        <v>Odos melanoma</v>
      </c>
      <c r="C20" s="151" t="str">
        <f>Data!C21</f>
        <v>C43</v>
      </c>
      <c r="D20" s="387" t="s">
        <v>573</v>
      </c>
      <c r="E20" s="387" t="s">
        <v>553</v>
      </c>
      <c r="F20" s="30"/>
      <c r="P20" s="318">
        <v>80</v>
      </c>
      <c r="Q20" s="370"/>
      <c r="R20" s="127"/>
      <c r="S20" s="128"/>
      <c r="T20" s="126"/>
    </row>
    <row r="21" spans="1:20" ht="12" customHeight="1">
      <c r="A21" s="29"/>
      <c r="B21" s="129" t="str">
        <f>UPPER(LEFT(TRIM(Data!B23),1)) &amp; MID(TRIM(Data!B23),2,50)</f>
        <v>Krūties</v>
      </c>
      <c r="C21" s="181" t="str">
        <f>Data!C23</f>
        <v>C50</v>
      </c>
      <c r="D21" s="387" t="s">
        <v>585</v>
      </c>
      <c r="E21" s="387" t="s">
        <v>586</v>
      </c>
      <c r="F21" s="30"/>
      <c r="O21" s="34" t="s">
        <v>439</v>
      </c>
      <c r="P21" s="318">
        <v>12</v>
      </c>
      <c r="Q21" s="370"/>
      <c r="R21" s="127"/>
      <c r="S21" s="128"/>
      <c r="T21" s="126"/>
    </row>
    <row r="22" spans="1:20" ht="12" customHeight="1">
      <c r="A22" s="29"/>
      <c r="B22" s="151" t="str">
        <f>UPPER(LEFT(TRIM(Data!B28),1)) &amp; MID(TRIM(Data!B28),2,50)</f>
        <v>Priešinės liaukos</v>
      </c>
      <c r="C22" s="151" t="str">
        <f>Data!C28</f>
        <v>C61</v>
      </c>
      <c r="D22" s="387" t="s">
        <v>554</v>
      </c>
      <c r="E22" s="387" t="s">
        <v>555</v>
      </c>
      <c r="F22" s="30"/>
      <c r="O22" s="34" t="s">
        <v>439</v>
      </c>
      <c r="P22" s="318">
        <v>3502</v>
      </c>
      <c r="Q22" s="370"/>
      <c r="R22" s="127"/>
      <c r="S22" s="128"/>
      <c r="T22" s="126"/>
    </row>
    <row r="23" spans="1:20" ht="12" customHeight="1">
      <c r="A23" s="29"/>
      <c r="B23" s="129" t="str">
        <f>UPPER(LEFT(TRIM(Data!B29),1)) &amp; MID(TRIM(Data!B29),2,50)</f>
        <v>Sėklidžių</v>
      </c>
      <c r="C23" s="181" t="str">
        <f>Data!C29</f>
        <v>C62</v>
      </c>
      <c r="D23" s="387" t="s">
        <v>556</v>
      </c>
      <c r="E23" s="387" t="s">
        <v>557</v>
      </c>
      <c r="F23" s="30"/>
      <c r="P23" s="318">
        <v>34</v>
      </c>
      <c r="Q23" s="370"/>
      <c r="R23" s="127"/>
      <c r="S23" s="128"/>
      <c r="T23" s="126"/>
    </row>
    <row r="24" spans="1:20" ht="12" customHeight="1">
      <c r="A24" s="29"/>
      <c r="B24" s="151" t="str">
        <f>UPPER(LEFT(TRIM(Data!B30),1)) &amp; MID(TRIM(Data!B30),2,50)</f>
        <v>Kitų lyties organų</v>
      </c>
      <c r="C24" s="151" t="s">
        <v>417</v>
      </c>
      <c r="D24" s="387" t="s">
        <v>587</v>
      </c>
      <c r="E24" s="387" t="s">
        <v>588</v>
      </c>
      <c r="F24" s="30"/>
      <c r="P24" s="318">
        <v>23</v>
      </c>
      <c r="Q24" s="370"/>
      <c r="R24" s="127"/>
      <c r="S24" s="128"/>
      <c r="T24" s="126"/>
    </row>
    <row r="25" spans="1:20" ht="12" customHeight="1">
      <c r="A25" s="29"/>
      <c r="B25" s="129" t="str">
        <f>UPPER(LEFT(TRIM(Data!B31),1)) &amp; MID(TRIM(Data!B31),2,50)</f>
        <v>Inkstų</v>
      </c>
      <c r="C25" s="181" t="str">
        <f>Data!C31</f>
        <v>C64</v>
      </c>
      <c r="D25" s="387" t="s">
        <v>574</v>
      </c>
      <c r="E25" s="387" t="s">
        <v>558</v>
      </c>
      <c r="F25" s="30"/>
      <c r="P25" s="318">
        <v>318</v>
      </c>
      <c r="Q25" s="370"/>
      <c r="R25" s="127"/>
      <c r="S25" s="128"/>
      <c r="T25" s="126"/>
    </row>
    <row r="26" spans="1:20" ht="12" customHeight="1">
      <c r="A26" s="29"/>
      <c r="B26" s="151" t="str">
        <f>UPPER(LEFT(TRIM(Data!B32),1)) &amp; MID(TRIM(Data!B32),2,50)</f>
        <v>Šlapimo pūslės</v>
      </c>
      <c r="C26" s="151" t="str">
        <f>Data!C32</f>
        <v>C67</v>
      </c>
      <c r="D26" s="387" t="s">
        <v>559</v>
      </c>
      <c r="E26" s="387" t="s">
        <v>560</v>
      </c>
      <c r="F26" s="30"/>
      <c r="P26" s="318">
        <v>240</v>
      </c>
      <c r="Q26" s="370"/>
      <c r="R26" s="127"/>
      <c r="S26" s="128"/>
      <c r="T26" s="126"/>
    </row>
    <row r="27" spans="1:20" ht="12" customHeight="1">
      <c r="A27" s="29"/>
      <c r="B27" s="129" t="str">
        <f>UPPER(LEFT(TRIM(Data!B33),1)) &amp; MID(TRIM(Data!B33),2,50)</f>
        <v>Kitų šlapimą išskiriančių organų</v>
      </c>
      <c r="C27" s="181" t="str">
        <f>Data!C33</f>
        <v>C65, C66, C68</v>
      </c>
      <c r="D27" s="387" t="s">
        <v>589</v>
      </c>
      <c r="E27" s="387" t="s">
        <v>590</v>
      </c>
      <c r="F27" s="30"/>
      <c r="P27" s="318">
        <v>9</v>
      </c>
      <c r="Q27" s="370"/>
      <c r="R27" s="127"/>
      <c r="S27" s="128"/>
      <c r="T27" s="126"/>
    </row>
    <row r="28" spans="1:20" ht="12" customHeight="1">
      <c r="A28" s="29"/>
      <c r="B28" s="151" t="str">
        <f>UPPER(LEFT(TRIM(Data!B34),1)) &amp; MID(TRIM(Data!B34),2,50)</f>
        <v>Akių</v>
      </c>
      <c r="C28" s="151" t="str">
        <f>Data!C34</f>
        <v>C69</v>
      </c>
      <c r="D28" s="387" t="s">
        <v>591</v>
      </c>
      <c r="E28" s="387" t="s">
        <v>592</v>
      </c>
      <c r="F28" s="30"/>
      <c r="P28" s="318">
        <v>15</v>
      </c>
      <c r="Q28" s="370"/>
      <c r="R28" s="127"/>
      <c r="S28" s="128"/>
      <c r="T28" s="126"/>
    </row>
    <row r="29" spans="1:20" ht="12" customHeight="1">
      <c r="A29" s="29"/>
      <c r="B29" s="129" t="str">
        <f>UPPER(LEFT(TRIM(Data!B35),1)) &amp; MID(TRIM(Data!B35),2,50)</f>
        <v>Smegenų</v>
      </c>
      <c r="C29" s="181" t="str">
        <f>Data!C35</f>
        <v>C70-C72</v>
      </c>
      <c r="D29" s="387" t="s">
        <v>562</v>
      </c>
      <c r="E29" s="387" t="s">
        <v>563</v>
      </c>
      <c r="F29" s="30"/>
      <c r="P29" s="318">
        <v>105</v>
      </c>
      <c r="Q29" s="370"/>
      <c r="R29" s="127"/>
      <c r="S29" s="128"/>
      <c r="T29" s="126"/>
    </row>
    <row r="30" spans="1:20" ht="12" customHeight="1">
      <c r="A30" s="29"/>
      <c r="B30" s="151" t="str">
        <f>UPPER(LEFT(TRIM(Data!B36),1)) &amp; MID(TRIM(Data!B36),2,50)</f>
        <v>Skydliaukės</v>
      </c>
      <c r="C30" s="151" t="str">
        <f>Data!C36</f>
        <v>C73</v>
      </c>
      <c r="D30" s="387" t="s">
        <v>564</v>
      </c>
      <c r="E30" s="387" t="s">
        <v>565</v>
      </c>
      <c r="F30" s="30"/>
      <c r="P30" s="318">
        <v>39</v>
      </c>
      <c r="Q30" s="370"/>
      <c r="R30" s="127"/>
      <c r="S30" s="128"/>
      <c r="T30" s="126"/>
    </row>
    <row r="31" spans="1:20" ht="12" customHeight="1">
      <c r="A31" s="29"/>
      <c r="B31" s="129" t="str">
        <f>UPPER(LEFT(TRIM(Data!B37),1)) &amp; MID(TRIM(Data!B37),2,50)</f>
        <v>Kitų endokrininių liaukų</v>
      </c>
      <c r="C31" s="181" t="str">
        <f>Data!C37</f>
        <v>C74-C75</v>
      </c>
      <c r="D31" s="387" t="s">
        <v>593</v>
      </c>
      <c r="E31" s="387" t="s">
        <v>594</v>
      </c>
      <c r="F31" s="30"/>
      <c r="P31" s="318">
        <v>13</v>
      </c>
      <c r="Q31" s="370"/>
      <c r="R31" s="127"/>
      <c r="S31" s="128"/>
      <c r="T31" s="126"/>
    </row>
    <row r="32" spans="1:20" ht="12" customHeight="1">
      <c r="A32" s="29"/>
      <c r="B32" s="151" t="str">
        <f>UPPER(LEFT(TRIM(Data!B38),1)) &amp; MID(TRIM(Data!B38),2,50)</f>
        <v>Nepatikslintos lokalizacijos</v>
      </c>
      <c r="C32" s="151" t="str">
        <f>Data!C38</f>
        <v>C76-C80</v>
      </c>
      <c r="D32" s="387" t="s">
        <v>566</v>
      </c>
      <c r="E32" s="387" t="s">
        <v>567</v>
      </c>
      <c r="F32" s="30"/>
      <c r="P32" s="318">
        <v>158</v>
      </c>
      <c r="Q32" s="370"/>
      <c r="R32" s="127"/>
      <c r="S32" s="128"/>
      <c r="T32" s="126"/>
    </row>
    <row r="33" spans="1:21" ht="12" customHeight="1">
      <c r="A33" s="29"/>
      <c r="B33" s="129" t="str">
        <f>UPPER(LEFT(TRIM(Data!B39),1)) &amp; MID(TRIM(Data!B39),2,50)</f>
        <v>Hodžkino limfomos</v>
      </c>
      <c r="C33" s="181" t="str">
        <f>Data!C39</f>
        <v>C81</v>
      </c>
      <c r="D33" s="387" t="s">
        <v>595</v>
      </c>
      <c r="E33" s="387" t="s">
        <v>596</v>
      </c>
      <c r="F33" s="30"/>
      <c r="P33" s="318">
        <v>29</v>
      </c>
      <c r="Q33" s="370"/>
      <c r="R33" s="127"/>
      <c r="S33" s="128"/>
      <c r="T33" s="126"/>
    </row>
    <row r="34" spans="1:21" ht="12" customHeight="1">
      <c r="A34" s="29"/>
      <c r="B34" s="151" t="str">
        <f>UPPER(LEFT(TRIM(Data!B40),1)) &amp; MID(TRIM(Data!B40),2,50)</f>
        <v>Ne Hodžkino limfomos</v>
      </c>
      <c r="C34" s="151" t="str">
        <f>Data!C40</f>
        <v>C82-C85</v>
      </c>
      <c r="D34" s="387" t="s">
        <v>575</v>
      </c>
      <c r="E34" s="387" t="s">
        <v>568</v>
      </c>
      <c r="F34" s="30"/>
      <c r="P34" s="318">
        <v>116</v>
      </c>
      <c r="Q34" s="370"/>
      <c r="R34" s="127"/>
      <c r="S34" s="128"/>
      <c r="T34" s="126"/>
    </row>
    <row r="35" spans="1:21" ht="12" customHeight="1">
      <c r="A35" s="29"/>
      <c r="B35" s="129" t="str">
        <f>UPPER(LEFT(TRIM(Data!B41),1)) &amp; MID(TRIM(Data!B41),2,50)</f>
        <v>Mielominės ligos</v>
      </c>
      <c r="C35" s="181" t="str">
        <f>Data!C41</f>
        <v>C90</v>
      </c>
      <c r="D35" s="387" t="s">
        <v>569</v>
      </c>
      <c r="E35" s="387" t="s">
        <v>570</v>
      </c>
      <c r="F35" s="30"/>
      <c r="P35" s="318">
        <v>49</v>
      </c>
      <c r="Q35" s="370"/>
      <c r="R35" s="127"/>
      <c r="S35" s="128"/>
      <c r="T35" s="126"/>
    </row>
    <row r="36" spans="1:21" ht="12" customHeight="1">
      <c r="A36" s="29"/>
      <c r="B36" s="151" t="str">
        <f>UPPER(LEFT(TRIM(Data!B42),1)) &amp; MID(TRIM(Data!B42),2,50)</f>
        <v>Leukemijos</v>
      </c>
      <c r="C36" s="151" t="str">
        <f>Data!C42</f>
        <v>C91-C95</v>
      </c>
      <c r="D36" s="387" t="s">
        <v>509</v>
      </c>
      <c r="E36" s="387" t="s">
        <v>561</v>
      </c>
      <c r="F36" s="30"/>
      <c r="P36" s="318">
        <v>177</v>
      </c>
      <c r="Q36" s="370"/>
      <c r="R36" s="127"/>
      <c r="S36" s="128"/>
      <c r="T36" s="126"/>
    </row>
    <row r="37" spans="1:21" ht="12" customHeight="1">
      <c r="A37" s="29"/>
      <c r="B37" s="129" t="str">
        <f>UPPER(LEFT(TRIM(Data!B43),1)) &amp; MID(TRIM(Data!B43),2,50)</f>
        <v>Kiti limfinio, kraujodaros audinių</v>
      </c>
      <c r="C37" s="181" t="str">
        <f>Data!C43</f>
        <v>C88, C96</v>
      </c>
      <c r="D37" s="387" t="s">
        <v>597</v>
      </c>
      <c r="E37" s="387" t="s">
        <v>598</v>
      </c>
      <c r="F37" s="30"/>
      <c r="P37" s="318">
        <v>2</v>
      </c>
      <c r="Q37" s="370"/>
      <c r="R37" s="127"/>
      <c r="S37" s="128"/>
      <c r="T37" s="126"/>
    </row>
    <row r="38" spans="1:21">
      <c r="A38" s="30"/>
      <c r="B38" s="30"/>
      <c r="C38" s="30"/>
      <c r="D38" s="30"/>
      <c r="E38" s="30"/>
      <c r="F38" s="30"/>
      <c r="R38" s="126"/>
      <c r="S38" s="126"/>
      <c r="T38" s="126"/>
      <c r="U38" s="126"/>
    </row>
    <row r="39" spans="1:21">
      <c r="A39" s="30"/>
      <c r="B39" s="57" t="s">
        <v>528</v>
      </c>
      <c r="C39" s="30"/>
      <c r="D39" s="30"/>
      <c r="E39" s="30"/>
      <c r="F39" s="30"/>
      <c r="R39" s="126"/>
      <c r="S39" s="126"/>
      <c r="T39" s="126"/>
      <c r="U39" s="126"/>
    </row>
  </sheetData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9" tint="0.39997558519241921"/>
  </sheetPr>
  <dimension ref="A1:Q41"/>
  <sheetViews>
    <sheetView zoomScaleNormal="100" workbookViewId="0">
      <selection activeCell="B1" sqref="B1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18.7109375" customWidth="1"/>
    <col min="6" max="6" width="3.28515625" customWidth="1"/>
    <col min="7" max="11" width="0.85546875" customWidth="1"/>
  </cols>
  <sheetData>
    <row r="1" spans="1:17" ht="15">
      <c r="A1" s="476"/>
      <c r="B1" s="479" t="s">
        <v>403</v>
      </c>
      <c r="C1" s="479"/>
      <c r="D1" s="479"/>
      <c r="E1" s="480"/>
      <c r="F1" s="477"/>
    </row>
    <row r="2" spans="1:17" ht="12.75" customHeight="1">
      <c r="A2" s="476"/>
      <c r="B2" s="481" t="str">
        <f>"Moterų reliatyvus išgyvenamumas  " &amp; GrafikaiSerg!A1 &amp; " metais,"</f>
        <v>Moterų reliatyvus išgyvenamumas  2015 metais,</v>
      </c>
      <c r="C2" s="481"/>
      <c r="D2" s="482" t="s">
        <v>629</v>
      </c>
      <c r="E2" s="482"/>
      <c r="F2" s="477"/>
    </row>
    <row r="3" spans="1:17" ht="12.75" customHeight="1">
      <c r="A3" s="476"/>
      <c r="B3" s="453" t="s">
        <v>631</v>
      </c>
      <c r="C3" s="478"/>
      <c r="D3" s="476"/>
      <c r="E3" s="476"/>
      <c r="F3" s="477"/>
    </row>
    <row r="4" spans="1:17" ht="26.1" customHeight="1" thickBot="1">
      <c r="A4" s="476"/>
      <c r="B4" s="178" t="s">
        <v>243</v>
      </c>
      <c r="C4" s="178" t="s">
        <v>244</v>
      </c>
      <c r="D4" s="386" t="s">
        <v>420</v>
      </c>
      <c r="E4" s="386" t="s">
        <v>421</v>
      </c>
      <c r="F4" s="477"/>
      <c r="L4" s="224"/>
      <c r="M4" s="126"/>
      <c r="N4" s="126"/>
      <c r="O4" s="126"/>
      <c r="P4" s="126"/>
      <c r="Q4" s="126"/>
    </row>
    <row r="5" spans="1:17" ht="12" customHeight="1" thickTop="1">
      <c r="A5" s="476"/>
      <c r="B5" s="129" t="str">
        <f>UPPER(LEFT(TRIM(Data!B6),1)) &amp; MID(TRIM(Data!B6),2,50)</f>
        <v>Lūpos</v>
      </c>
      <c r="C5" s="181" t="str">
        <f>Data!C6</f>
        <v>C00</v>
      </c>
      <c r="D5" s="387" t="s">
        <v>448</v>
      </c>
      <c r="E5" s="387" t="s">
        <v>599</v>
      </c>
      <c r="F5" s="477"/>
      <c r="L5" s="318">
        <v>9</v>
      </c>
      <c r="M5" s="127"/>
      <c r="N5" s="128"/>
      <c r="O5" s="126"/>
    </row>
    <row r="6" spans="1:17" ht="12" customHeight="1">
      <c r="A6" s="476"/>
      <c r="B6" s="151" t="str">
        <f>UPPER(LEFT(TRIM(Data!B7),1)) &amp; MID(TRIM(Data!B7),2,50)</f>
        <v>Burnos ertmės ir ryklės</v>
      </c>
      <c r="C6" s="151" t="str">
        <f>Data!C7</f>
        <v>C01-C14</v>
      </c>
      <c r="D6" s="387" t="s">
        <v>487</v>
      </c>
      <c r="E6" s="387" t="s">
        <v>488</v>
      </c>
      <c r="F6" s="477"/>
      <c r="L6" s="318">
        <v>55</v>
      </c>
      <c r="M6" s="127"/>
      <c r="N6" s="128"/>
      <c r="O6" s="126"/>
    </row>
    <row r="7" spans="1:17" ht="12" customHeight="1">
      <c r="A7" s="476"/>
      <c r="B7" s="129" t="str">
        <f>UPPER(LEFT(TRIM(Data!B8),1)) &amp; MID(TRIM(Data!B8),2,50)</f>
        <v>Stemplės</v>
      </c>
      <c r="C7" s="181" t="str">
        <f>Data!C8</f>
        <v>C15</v>
      </c>
      <c r="D7" s="387" t="s">
        <v>600</v>
      </c>
      <c r="E7" s="387" t="s">
        <v>601</v>
      </c>
      <c r="F7" s="477"/>
      <c r="L7" s="318">
        <v>27</v>
      </c>
      <c r="M7" s="127"/>
      <c r="N7" s="128"/>
      <c r="O7" s="126"/>
    </row>
    <row r="8" spans="1:17" ht="12" customHeight="1">
      <c r="A8" s="476"/>
      <c r="B8" s="151" t="str">
        <f>UPPER(LEFT(TRIM(Data!B9),1)) &amp; MID(TRIM(Data!B9),2,50)</f>
        <v>Skrandžio</v>
      </c>
      <c r="C8" s="151" t="str">
        <f>Data!C9</f>
        <v>C16</v>
      </c>
      <c r="D8" s="387" t="s">
        <v>489</v>
      </c>
      <c r="E8" s="387" t="s">
        <v>530</v>
      </c>
      <c r="F8" s="477"/>
      <c r="L8" s="318">
        <v>315</v>
      </c>
      <c r="M8" s="127"/>
      <c r="N8" s="128"/>
      <c r="O8" s="126"/>
    </row>
    <row r="9" spans="1:17" ht="12" customHeight="1">
      <c r="A9" s="476"/>
      <c r="B9" s="129" t="str">
        <f>UPPER(LEFT(TRIM(Data!B10),1)) &amp; MID(TRIM(Data!B10),2,50)</f>
        <v>Gaubtinės žarnos</v>
      </c>
      <c r="C9" s="181" t="str">
        <f>Data!C10</f>
        <v>C18</v>
      </c>
      <c r="D9" s="387" t="s">
        <v>490</v>
      </c>
      <c r="E9" s="387" t="s">
        <v>491</v>
      </c>
      <c r="F9" s="477"/>
      <c r="L9" s="318">
        <v>346</v>
      </c>
      <c r="M9" s="127"/>
      <c r="N9" s="128"/>
      <c r="O9" s="126"/>
    </row>
    <row r="10" spans="1:17" ht="12" customHeight="1">
      <c r="A10" s="476"/>
      <c r="B10" s="151" t="str">
        <f>UPPER(LEFT(TRIM(Data!B11),1)) &amp; MID(TRIM(Data!B11),2,50)</f>
        <v>Tiesiosios žarnos, išangės</v>
      </c>
      <c r="C10" s="151" t="str">
        <f>Data!C11</f>
        <v>C19-C21</v>
      </c>
      <c r="D10" s="387" t="s">
        <v>492</v>
      </c>
      <c r="E10" s="387" t="s">
        <v>493</v>
      </c>
      <c r="F10" s="477"/>
      <c r="L10" s="318">
        <v>279</v>
      </c>
      <c r="M10" s="127"/>
      <c r="N10" s="128"/>
      <c r="O10" s="126"/>
    </row>
    <row r="11" spans="1:17" ht="12" customHeight="1">
      <c r="A11" s="476"/>
      <c r="B11" s="129" t="str">
        <f>UPPER(LEFT(TRIM(Data!B12),1)) &amp; MID(TRIM(Data!B12),2,50)</f>
        <v>Kepenų</v>
      </c>
      <c r="C11" s="181" t="str">
        <f>Data!C12</f>
        <v>C22</v>
      </c>
      <c r="D11" s="387" t="s">
        <v>494</v>
      </c>
      <c r="E11" s="387" t="s">
        <v>495</v>
      </c>
      <c r="F11" s="477"/>
      <c r="L11" s="318">
        <v>34</v>
      </c>
      <c r="M11" s="127"/>
      <c r="N11" s="128"/>
      <c r="O11" s="126"/>
    </row>
    <row r="12" spans="1:17" ht="12" customHeight="1">
      <c r="A12" s="476"/>
      <c r="B12" s="151" t="str">
        <f>UPPER(LEFT(TRIM(Data!B13),1)) &amp; MID(TRIM(Data!B13),2,50)</f>
        <v>Tulžies pūslės, ekstrahepatinių takų</v>
      </c>
      <c r="C12" s="151" t="str">
        <f>Data!C13</f>
        <v>C23, C24</v>
      </c>
      <c r="D12" s="387" t="s">
        <v>496</v>
      </c>
      <c r="E12" s="387" t="s">
        <v>497</v>
      </c>
      <c r="F12" s="477"/>
      <c r="L12" s="318">
        <v>53</v>
      </c>
      <c r="M12" s="127"/>
      <c r="N12" s="128"/>
      <c r="O12" s="126"/>
    </row>
    <row r="13" spans="1:17" ht="12" customHeight="1">
      <c r="A13" s="476"/>
      <c r="B13" s="129" t="str">
        <f>UPPER(LEFT(TRIM(Data!B14),1)) &amp; MID(TRIM(Data!B14),2,50)</f>
        <v>Kasos</v>
      </c>
      <c r="C13" s="181" t="str">
        <f>Data!C14</f>
        <v>C25</v>
      </c>
      <c r="D13" s="387" t="s">
        <v>529</v>
      </c>
      <c r="E13" s="387" t="s">
        <v>498</v>
      </c>
      <c r="F13" s="477"/>
      <c r="L13" s="318">
        <v>162</v>
      </c>
      <c r="M13" s="127"/>
      <c r="N13" s="128"/>
      <c r="O13" s="126"/>
    </row>
    <row r="14" spans="1:17" ht="12" customHeight="1">
      <c r="A14" s="476"/>
      <c r="B14" s="151" t="str">
        <f>UPPER(LEFT(TRIM(Data!B15),1)) &amp; MID(TRIM(Data!B15),2,50)</f>
        <v>Kitų virškinimo sistemos organų</v>
      </c>
      <c r="C14" s="151" t="str">
        <f>Data!C15</f>
        <v>C17, C26, C48</v>
      </c>
      <c r="D14" s="387" t="s">
        <v>499</v>
      </c>
      <c r="E14" s="387" t="s">
        <v>500</v>
      </c>
      <c r="F14" s="477"/>
      <c r="L14" s="318">
        <v>31</v>
      </c>
      <c r="M14" s="127"/>
      <c r="N14" s="128"/>
      <c r="O14" s="126"/>
    </row>
    <row r="15" spans="1:17" ht="12" customHeight="1">
      <c r="A15" s="476"/>
      <c r="B15" s="129" t="str">
        <f>UPPER(LEFT(TRIM(Data!B16),1)) &amp; MID(TRIM(Data!B16),2,50)</f>
        <v>Nosies ertmės, vid.ausies ir ančių</v>
      </c>
      <c r="C15" s="181" t="str">
        <f>Data!C16</f>
        <v>C30, C31</v>
      </c>
      <c r="D15" s="387" t="s">
        <v>602</v>
      </c>
      <c r="E15" s="387" t="s">
        <v>603</v>
      </c>
      <c r="F15" s="477"/>
      <c r="L15" s="318">
        <v>7</v>
      </c>
      <c r="M15" s="127"/>
      <c r="N15" s="128"/>
      <c r="O15" s="126"/>
    </row>
    <row r="16" spans="1:17" ht="12" customHeight="1">
      <c r="A16" s="476"/>
      <c r="B16" s="151" t="str">
        <f>UPPER(LEFT(TRIM(Data!B17),1)) &amp; MID(TRIM(Data!B17),2,50)</f>
        <v>Gerklų</v>
      </c>
      <c r="C16" s="151" t="str">
        <f>Data!C17</f>
        <v>C32</v>
      </c>
      <c r="D16" s="387" t="s">
        <v>604</v>
      </c>
      <c r="E16" s="387" t="s">
        <v>605</v>
      </c>
      <c r="F16" s="477"/>
      <c r="L16" s="318">
        <v>13</v>
      </c>
      <c r="M16" s="127"/>
      <c r="N16" s="128"/>
      <c r="O16" s="126"/>
    </row>
    <row r="17" spans="1:15" ht="12" customHeight="1">
      <c r="A17" s="476"/>
      <c r="B17" s="129" t="str">
        <f>UPPER(LEFT(TRIM(Data!B18),1)) &amp; MID(TRIM(Data!B18),2,50)</f>
        <v>Plaučių, trachėjos, bronchų</v>
      </c>
      <c r="C17" s="181" t="str">
        <f>Data!C18</f>
        <v>C33, C34</v>
      </c>
      <c r="D17" s="387" t="s">
        <v>534</v>
      </c>
      <c r="E17" s="387" t="s">
        <v>501</v>
      </c>
      <c r="F17" s="477"/>
      <c r="L17" s="318">
        <v>179</v>
      </c>
      <c r="M17" s="127"/>
      <c r="N17" s="128"/>
      <c r="O17" s="126"/>
    </row>
    <row r="18" spans="1:15" ht="12" customHeight="1">
      <c r="A18" s="476"/>
      <c r="B18" s="151" t="str">
        <f>UPPER(LEFT(TRIM(Data!B19),1)) &amp; MID(TRIM(Data!B19),2,50)</f>
        <v>Kitų kvėpavimo sistemos organų</v>
      </c>
      <c r="C18" s="151" t="str">
        <f>Data!C19</f>
        <v>C37-C39</v>
      </c>
      <c r="D18" s="388" t="s">
        <v>445</v>
      </c>
      <c r="E18" s="388" t="s">
        <v>445</v>
      </c>
      <c r="F18" s="477"/>
      <c r="L18" s="318">
        <v>6</v>
      </c>
      <c r="M18" s="127"/>
      <c r="N18" s="128"/>
      <c r="O18" s="126"/>
    </row>
    <row r="19" spans="1:15" ht="12" customHeight="1">
      <c r="A19" s="476"/>
      <c r="B19" s="129" t="str">
        <f>UPPER(LEFT(TRIM(Data!B20),1)) &amp; MID(TRIM(Data!B20),2,50)</f>
        <v>Kaulų ir jungiamojo audinio</v>
      </c>
      <c r="C19" s="181" t="str">
        <f>Data!C20</f>
        <v>C40-C41, C45-C47, C49</v>
      </c>
      <c r="D19" s="387" t="s">
        <v>502</v>
      </c>
      <c r="E19" s="387" t="s">
        <v>503</v>
      </c>
      <c r="F19" s="477"/>
      <c r="L19" s="318">
        <v>48</v>
      </c>
      <c r="M19" s="127"/>
      <c r="N19" s="128"/>
      <c r="O19" s="126"/>
    </row>
    <row r="20" spans="1:15" ht="12" customHeight="1">
      <c r="A20" s="476"/>
      <c r="B20" s="151" t="str">
        <f>UPPER(LEFT(TRIM(Data!B21),1)) &amp; MID(TRIM(Data!B21),2,50)</f>
        <v>Odos melanoma</v>
      </c>
      <c r="C20" s="151" t="str">
        <f>Data!C21</f>
        <v>C43</v>
      </c>
      <c r="D20" s="387" t="s">
        <v>504</v>
      </c>
      <c r="E20" s="387" t="s">
        <v>505</v>
      </c>
      <c r="F20" s="477"/>
      <c r="J20" s="221"/>
      <c r="K20" s="221"/>
      <c r="L20" s="475">
        <v>161</v>
      </c>
      <c r="M20" s="127"/>
      <c r="N20" s="128"/>
      <c r="O20" s="126"/>
    </row>
    <row r="21" spans="1:15" ht="12" customHeight="1">
      <c r="A21" s="476"/>
      <c r="B21" s="129" t="str">
        <f>UPPER(LEFT(TRIM(Data!B23),1)) &amp; MID(TRIM(Data!B23),2,50)</f>
        <v>Krūties</v>
      </c>
      <c r="C21" s="181" t="str">
        <f>Data!C23</f>
        <v>C50</v>
      </c>
      <c r="D21" s="387" t="s">
        <v>533</v>
      </c>
      <c r="E21" s="387" t="s">
        <v>506</v>
      </c>
      <c r="F21" s="477"/>
      <c r="J21" s="221"/>
      <c r="K21" s="473" t="s">
        <v>439</v>
      </c>
      <c r="L21" s="475">
        <v>1241</v>
      </c>
      <c r="M21" s="127"/>
      <c r="N21" s="128"/>
      <c r="O21" s="126"/>
    </row>
    <row r="22" spans="1:15" ht="12" customHeight="1">
      <c r="A22" s="476"/>
      <c r="B22" s="151" t="str">
        <f>UPPER(LEFT(TRIM(Data!B24),1)) &amp; MID(TRIM(Data!B24),2,50)</f>
        <v>Vulvos</v>
      </c>
      <c r="C22" s="151" t="str">
        <f>Data!C24</f>
        <v>C51</v>
      </c>
      <c r="D22" s="387" t="s">
        <v>532</v>
      </c>
      <c r="E22" s="387" t="s">
        <v>507</v>
      </c>
      <c r="F22" s="477"/>
      <c r="J22" s="221"/>
      <c r="K22" s="221"/>
      <c r="L22" s="475">
        <v>46</v>
      </c>
      <c r="M22" s="127"/>
      <c r="N22" s="128"/>
      <c r="O22" s="126"/>
    </row>
    <row r="23" spans="1:15" ht="12" customHeight="1">
      <c r="A23" s="476"/>
      <c r="B23" s="129" t="str">
        <f>UPPER(LEFT(TRIM(Data!B25),1)) &amp; MID(TRIM(Data!B25),2,50)</f>
        <v>Gimdos kaklelio</v>
      </c>
      <c r="C23" s="181" t="str">
        <f>Data!C25</f>
        <v>C53</v>
      </c>
      <c r="D23" s="387" t="s">
        <v>508</v>
      </c>
      <c r="E23" s="387" t="s">
        <v>509</v>
      </c>
      <c r="F23" s="477"/>
      <c r="J23" s="221"/>
      <c r="K23" s="221"/>
      <c r="L23" s="475">
        <v>446</v>
      </c>
      <c r="M23" s="127"/>
      <c r="N23" s="128"/>
      <c r="O23" s="126"/>
    </row>
    <row r="24" spans="1:15" ht="12" customHeight="1">
      <c r="A24" s="476"/>
      <c r="B24" s="151" t="str">
        <f>UPPER(LEFT(TRIM(Data!B26),1)) &amp; MID(TRIM(Data!B26),2,50)</f>
        <v>Gimdos kūno</v>
      </c>
      <c r="C24" s="151" t="str">
        <f>Data!C26</f>
        <v>C54, C55</v>
      </c>
      <c r="D24" s="387" t="s">
        <v>510</v>
      </c>
      <c r="E24" s="387" t="s">
        <v>511</v>
      </c>
      <c r="F24" s="477"/>
      <c r="J24" s="221"/>
      <c r="K24" s="221"/>
      <c r="L24" s="475">
        <v>493</v>
      </c>
      <c r="M24" s="127"/>
      <c r="N24" s="128"/>
      <c r="O24" s="126"/>
    </row>
    <row r="25" spans="1:15" ht="12" customHeight="1">
      <c r="A25" s="476"/>
      <c r="B25" s="129" t="str">
        <f>UPPER(LEFT(TRIM(Data!B27),1)) &amp; MID(TRIM(Data!B27),2,50)</f>
        <v>Kiaušidžių</v>
      </c>
      <c r="C25" s="181" t="str">
        <f>Data!C27</f>
        <v>C56</v>
      </c>
      <c r="D25" s="387" t="s">
        <v>512</v>
      </c>
      <c r="E25" s="387" t="s">
        <v>513</v>
      </c>
      <c r="F25" s="477"/>
      <c r="J25" s="221"/>
      <c r="K25" s="221"/>
      <c r="L25" s="475">
        <v>365</v>
      </c>
      <c r="M25" s="127"/>
      <c r="N25" s="128"/>
      <c r="O25" s="126"/>
    </row>
    <row r="26" spans="1:15" ht="12" customHeight="1">
      <c r="A26" s="476"/>
      <c r="B26" s="151" t="str">
        <f>UPPER(LEFT(TRIM(Data!B30),1)) &amp; MID(TRIM(Data!B30),2,50)</f>
        <v>Kitų lyties organų</v>
      </c>
      <c r="C26" s="151" t="s">
        <v>418</v>
      </c>
      <c r="D26" s="387" t="s">
        <v>606</v>
      </c>
      <c r="E26" s="387" t="s">
        <v>607</v>
      </c>
      <c r="F26" s="477"/>
      <c r="J26" s="221"/>
      <c r="K26" s="473" t="s">
        <v>439</v>
      </c>
      <c r="L26" s="475">
        <v>14</v>
      </c>
      <c r="M26" s="127"/>
      <c r="N26" s="128"/>
      <c r="O26" s="126"/>
    </row>
    <row r="27" spans="1:15" ht="12" customHeight="1">
      <c r="A27" s="476"/>
      <c r="B27" s="129" t="str">
        <f>UPPER(LEFT(TRIM(Data!B31),1)) &amp; MID(TRIM(Data!B31),2,50)</f>
        <v>Inkstų</v>
      </c>
      <c r="C27" s="181" t="str">
        <f>Data!C31</f>
        <v>C64</v>
      </c>
      <c r="D27" s="387" t="s">
        <v>514</v>
      </c>
      <c r="E27" s="387" t="s">
        <v>515</v>
      </c>
      <c r="F27" s="477"/>
      <c r="J27" s="221"/>
      <c r="K27" s="221"/>
      <c r="L27" s="475">
        <v>283</v>
      </c>
      <c r="M27" s="127"/>
      <c r="N27" s="128"/>
      <c r="O27" s="126"/>
    </row>
    <row r="28" spans="1:15" ht="12" customHeight="1">
      <c r="A28" s="476"/>
      <c r="B28" s="151" t="str">
        <f>UPPER(LEFT(TRIM(Data!B32),1)) &amp; MID(TRIM(Data!B32),2,50)</f>
        <v>Šlapimo pūslės</v>
      </c>
      <c r="C28" s="151" t="str">
        <f>Data!C32</f>
        <v>C67</v>
      </c>
      <c r="D28" s="387" t="s">
        <v>516</v>
      </c>
      <c r="E28" s="387" t="s">
        <v>500</v>
      </c>
      <c r="F28" s="477"/>
      <c r="J28" s="221"/>
      <c r="K28" s="221"/>
      <c r="L28" s="475">
        <v>83</v>
      </c>
      <c r="M28" s="127"/>
      <c r="N28" s="128"/>
      <c r="O28" s="126"/>
    </row>
    <row r="29" spans="1:15" ht="12" customHeight="1">
      <c r="A29" s="476"/>
      <c r="B29" s="129" t="str">
        <f>UPPER(LEFT(TRIM(Data!B33),1)) &amp; MID(TRIM(Data!B33),2,50)</f>
        <v>Kitų šlapimą išskiriančių organų</v>
      </c>
      <c r="C29" s="181" t="str">
        <f>Data!C33</f>
        <v>C65, C66, C68</v>
      </c>
      <c r="D29" s="387" t="s">
        <v>447</v>
      </c>
      <c r="E29" s="387" t="s">
        <v>608</v>
      </c>
      <c r="F29" s="477"/>
      <c r="J29" s="221"/>
      <c r="K29" s="221"/>
      <c r="L29" s="475">
        <v>14</v>
      </c>
      <c r="M29" s="127"/>
      <c r="N29" s="128"/>
      <c r="O29" s="126"/>
    </row>
    <row r="30" spans="1:15" ht="12" customHeight="1">
      <c r="A30" s="476"/>
      <c r="B30" s="151" t="str">
        <f>UPPER(LEFT(TRIM(Data!B34),1)) &amp; MID(TRIM(Data!B34),2,50)</f>
        <v>Akių</v>
      </c>
      <c r="C30" s="151" t="str">
        <f>Data!C34</f>
        <v>C69</v>
      </c>
      <c r="D30" s="387" t="s">
        <v>609</v>
      </c>
      <c r="E30" s="387" t="s">
        <v>610</v>
      </c>
      <c r="F30" s="477"/>
      <c r="L30" s="318">
        <v>11</v>
      </c>
      <c r="M30" s="127"/>
      <c r="N30" s="128"/>
      <c r="O30" s="126"/>
    </row>
    <row r="31" spans="1:15" ht="12" customHeight="1">
      <c r="A31" s="476"/>
      <c r="B31" s="129" t="str">
        <f>UPPER(LEFT(TRIM(Data!B35),1)) &amp; MID(TRIM(Data!B35),2,50)</f>
        <v>Smegenų</v>
      </c>
      <c r="C31" s="181" t="str">
        <f>Data!C35</f>
        <v>C70-C72</v>
      </c>
      <c r="D31" s="387" t="s">
        <v>517</v>
      </c>
      <c r="E31" s="387" t="s">
        <v>518</v>
      </c>
      <c r="F31" s="477"/>
      <c r="L31" s="318">
        <v>106</v>
      </c>
      <c r="M31" s="127"/>
      <c r="N31" s="128"/>
      <c r="O31" s="126"/>
    </row>
    <row r="32" spans="1:15" ht="12" customHeight="1">
      <c r="A32" s="476"/>
      <c r="B32" s="151" t="str">
        <f>UPPER(LEFT(TRIM(Data!B36),1)) &amp; MID(TRIM(Data!B36),2,50)</f>
        <v>Skydliaukės</v>
      </c>
      <c r="C32" s="151" t="str">
        <f>Data!C36</f>
        <v>C73</v>
      </c>
      <c r="D32" s="387" t="s">
        <v>519</v>
      </c>
      <c r="E32" s="387" t="s">
        <v>531</v>
      </c>
      <c r="F32" s="477"/>
      <c r="L32" s="318">
        <v>262</v>
      </c>
      <c r="M32" s="127"/>
      <c r="N32" s="128"/>
      <c r="O32" s="126"/>
    </row>
    <row r="33" spans="1:17" ht="12" customHeight="1">
      <c r="A33" s="476"/>
      <c r="B33" s="129" t="str">
        <f>UPPER(LEFT(TRIM(Data!B37),1)) &amp; MID(TRIM(Data!B37),2,50)</f>
        <v>Kitų endokrininių liaukų</v>
      </c>
      <c r="C33" s="181" t="str">
        <f>Data!C37</f>
        <v>C74-C75</v>
      </c>
      <c r="D33" s="387" t="s">
        <v>611</v>
      </c>
      <c r="E33" s="387" t="s">
        <v>612</v>
      </c>
      <c r="F33" s="477"/>
      <c r="L33" s="318">
        <v>6</v>
      </c>
      <c r="M33" s="127"/>
      <c r="N33" s="128"/>
      <c r="O33" s="126"/>
    </row>
    <row r="34" spans="1:17" ht="12" customHeight="1">
      <c r="A34" s="476"/>
      <c r="B34" s="151" t="str">
        <f>UPPER(LEFT(TRIM(Data!B38),1)) &amp; MID(TRIM(Data!B38),2,50)</f>
        <v>Nepatikslintos lokalizacijos</v>
      </c>
      <c r="C34" s="151" t="str">
        <f>Data!C38</f>
        <v>C76-C80</v>
      </c>
      <c r="D34" s="387" t="s">
        <v>520</v>
      </c>
      <c r="E34" s="387" t="s">
        <v>521</v>
      </c>
      <c r="F34" s="477"/>
      <c r="L34" s="318">
        <v>134</v>
      </c>
      <c r="M34" s="127"/>
      <c r="N34" s="128"/>
      <c r="O34" s="126"/>
    </row>
    <row r="35" spans="1:17" ht="12" customHeight="1">
      <c r="A35" s="476"/>
      <c r="B35" s="129" t="str">
        <f>UPPER(LEFT(TRIM(Data!B39),1)) &amp; MID(TRIM(Data!B39),2,50)</f>
        <v>Hodžkino limfomos</v>
      </c>
      <c r="C35" s="181" t="str">
        <f>Data!C39</f>
        <v>C81</v>
      </c>
      <c r="D35" s="387" t="s">
        <v>448</v>
      </c>
      <c r="E35" s="387" t="s">
        <v>448</v>
      </c>
      <c r="F35" s="477"/>
      <c r="L35" s="318">
        <v>28</v>
      </c>
      <c r="M35" s="127"/>
      <c r="N35" s="128"/>
      <c r="O35" s="126"/>
    </row>
    <row r="36" spans="1:17" ht="12" customHeight="1">
      <c r="A36" s="476"/>
      <c r="B36" s="151" t="str">
        <f>UPPER(LEFT(TRIM(Data!B40),1)) &amp; MID(TRIM(Data!B40),2,50)</f>
        <v>Ne Hodžkino limfomos</v>
      </c>
      <c r="C36" s="151" t="str">
        <f>Data!C40</f>
        <v>C82-C85</v>
      </c>
      <c r="D36" s="387" t="s">
        <v>522</v>
      </c>
      <c r="E36" s="387" t="s">
        <v>523</v>
      </c>
      <c r="F36" s="477"/>
      <c r="L36" s="318">
        <v>140</v>
      </c>
      <c r="M36" s="127"/>
      <c r="N36" s="128"/>
      <c r="O36" s="126"/>
    </row>
    <row r="37" spans="1:17" ht="12" customHeight="1">
      <c r="A37" s="476"/>
      <c r="B37" s="129" t="str">
        <f>UPPER(LEFT(TRIM(Data!B41),1)) &amp; MID(TRIM(Data!B41),2,50)</f>
        <v>Mielominės ligos</v>
      </c>
      <c r="C37" s="181" t="str">
        <f>Data!C41</f>
        <v>C90</v>
      </c>
      <c r="D37" s="387" t="s">
        <v>524</v>
      </c>
      <c r="E37" s="387" t="s">
        <v>525</v>
      </c>
      <c r="F37" s="477"/>
      <c r="L37" s="318">
        <v>73</v>
      </c>
      <c r="M37" s="127"/>
      <c r="N37" s="128"/>
      <c r="O37" s="126"/>
    </row>
    <row r="38" spans="1:17" ht="12" customHeight="1">
      <c r="A38" s="476"/>
      <c r="B38" s="151" t="str">
        <f>UPPER(LEFT(TRIM(Data!B42),1)) &amp; MID(TRIM(Data!B42),2,50)</f>
        <v>Leukemijos</v>
      </c>
      <c r="C38" s="151" t="str">
        <f>Data!C42</f>
        <v>C91-C95</v>
      </c>
      <c r="D38" s="387" t="s">
        <v>526</v>
      </c>
      <c r="E38" s="387" t="s">
        <v>527</v>
      </c>
      <c r="F38" s="477"/>
      <c r="L38" s="318">
        <v>165</v>
      </c>
      <c r="M38" s="127"/>
      <c r="N38" s="128"/>
      <c r="O38" s="126"/>
    </row>
    <row r="39" spans="1:17" ht="12" customHeight="1">
      <c r="A39" s="476"/>
      <c r="B39" s="129" t="str">
        <f>UPPER(LEFT(TRIM(Data!B43),1)) &amp; MID(TRIM(Data!B43),2,50)</f>
        <v>Kiti limfinio, kraujodaros audinių</v>
      </c>
      <c r="C39" s="181" t="str">
        <f>Data!C43</f>
        <v>C88, C96</v>
      </c>
      <c r="D39" s="387" t="s">
        <v>613</v>
      </c>
      <c r="E39" s="387" t="s">
        <v>614</v>
      </c>
      <c r="F39" s="477"/>
      <c r="L39" s="318">
        <v>3</v>
      </c>
      <c r="M39" s="127"/>
      <c r="N39" s="128"/>
      <c r="O39" s="126"/>
    </row>
    <row r="40" spans="1:17">
      <c r="A40" s="477"/>
      <c r="B40" s="477"/>
      <c r="C40" s="477"/>
      <c r="D40" s="477"/>
      <c r="E40" s="477"/>
      <c r="F40" s="477"/>
      <c r="L40" s="318"/>
      <c r="M40" s="126"/>
      <c r="O40" s="126"/>
      <c r="P40" s="126"/>
      <c r="Q40" s="126"/>
    </row>
    <row r="41" spans="1:17">
      <c r="A41" s="477"/>
      <c r="B41" s="478" t="s">
        <v>528</v>
      </c>
      <c r="C41" s="477"/>
      <c r="D41" s="477"/>
      <c r="E41" s="477"/>
      <c r="F41" s="477"/>
    </row>
  </sheetData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39997558519241921"/>
  </sheetPr>
  <dimension ref="A1:BC41"/>
  <sheetViews>
    <sheetView workbookViewId="0">
      <pane xSplit="1" topLeftCell="Y1" activePane="topRight" state="frozen"/>
      <selection activeCell="DV55" sqref="DV55"/>
      <selection pane="topRight" activeCell="AM23" sqref="AM23:AM40"/>
    </sheetView>
  </sheetViews>
  <sheetFormatPr defaultRowHeight="12.75"/>
  <cols>
    <col min="1" max="1" width="6.42578125" bestFit="1" customWidth="1"/>
    <col min="2" max="33" width="7.140625" bestFit="1" customWidth="1"/>
    <col min="34" max="35" width="8" bestFit="1" customWidth="1"/>
    <col min="36" max="36" width="9" bestFit="1" customWidth="1"/>
    <col min="37" max="42" width="8" bestFit="1" customWidth="1"/>
    <col min="43" max="54" width="7.140625" bestFit="1" customWidth="1"/>
  </cols>
  <sheetData>
    <row r="1" spans="1:55" ht="15">
      <c r="A1" s="36"/>
      <c r="B1" s="37" t="s">
        <v>269</v>
      </c>
      <c r="C1" s="37" t="s">
        <v>270</v>
      </c>
      <c r="D1" s="37" t="s">
        <v>271</v>
      </c>
      <c r="E1" s="37" t="s">
        <v>272</v>
      </c>
      <c r="F1" s="37" t="s">
        <v>273</v>
      </c>
      <c r="G1" s="37" t="s">
        <v>274</v>
      </c>
      <c r="H1" s="37" t="s">
        <v>275</v>
      </c>
      <c r="I1" s="37" t="s">
        <v>276</v>
      </c>
      <c r="J1" s="37" t="s">
        <v>277</v>
      </c>
      <c r="K1" s="37" t="s">
        <v>278</v>
      </c>
      <c r="L1" s="37" t="s">
        <v>279</v>
      </c>
      <c r="M1" s="38" t="s">
        <v>280</v>
      </c>
      <c r="N1" s="38" t="s">
        <v>281</v>
      </c>
      <c r="O1" s="38" t="s">
        <v>282</v>
      </c>
      <c r="P1" s="38" t="s">
        <v>283</v>
      </c>
      <c r="Q1" s="39" t="s">
        <v>284</v>
      </c>
      <c r="R1" s="38" t="s">
        <v>285</v>
      </c>
      <c r="S1" s="38" t="s">
        <v>286</v>
      </c>
      <c r="T1" s="38" t="s">
        <v>287</v>
      </c>
      <c r="U1" s="38" t="s">
        <v>288</v>
      </c>
      <c r="V1" s="38" t="s">
        <v>289</v>
      </c>
      <c r="W1" s="38" t="s">
        <v>290</v>
      </c>
      <c r="X1" s="38" t="s">
        <v>291</v>
      </c>
      <c r="Y1" s="38" t="s">
        <v>292</v>
      </c>
      <c r="Z1" s="38" t="s">
        <v>293</v>
      </c>
      <c r="AA1" s="38" t="s">
        <v>294</v>
      </c>
      <c r="AB1" s="38" t="s">
        <v>295</v>
      </c>
      <c r="AC1" s="38" t="s">
        <v>296</v>
      </c>
      <c r="AD1" s="38" t="s">
        <v>297</v>
      </c>
      <c r="AE1" s="38" t="s">
        <v>298</v>
      </c>
      <c r="AF1" s="36" t="s">
        <v>299</v>
      </c>
      <c r="AG1" s="36" t="s">
        <v>300</v>
      </c>
      <c r="AH1" s="36" t="s">
        <v>360</v>
      </c>
      <c r="AI1" s="36" t="s">
        <v>361</v>
      </c>
      <c r="AJ1" s="36" t="s">
        <v>362</v>
      </c>
      <c r="AK1" s="371" t="s">
        <v>363</v>
      </c>
      <c r="AL1" s="371" t="s">
        <v>364</v>
      </c>
      <c r="AM1" s="371" t="s">
        <v>365</v>
      </c>
      <c r="AN1" s="371" t="s">
        <v>366</v>
      </c>
      <c r="AO1" s="371" t="s">
        <v>367</v>
      </c>
      <c r="AP1" s="371" t="s">
        <v>368</v>
      </c>
      <c r="AQ1" s="36" t="s">
        <v>369</v>
      </c>
      <c r="AR1" s="36" t="s">
        <v>370</v>
      </c>
      <c r="AS1" s="36" t="s">
        <v>371</v>
      </c>
      <c r="AT1" s="36" t="s">
        <v>372</v>
      </c>
      <c r="AU1" s="36" t="s">
        <v>373</v>
      </c>
      <c r="AV1" s="36" t="s">
        <v>374</v>
      </c>
      <c r="AW1" s="36" t="s">
        <v>375</v>
      </c>
      <c r="AX1" s="36" t="s">
        <v>376</v>
      </c>
      <c r="AY1" s="36" t="s">
        <v>377</v>
      </c>
      <c r="AZ1" s="36" t="s">
        <v>378</v>
      </c>
      <c r="BA1" s="36" t="s">
        <v>379</v>
      </c>
      <c r="BB1" s="36" t="s">
        <v>380</v>
      </c>
      <c r="BC1" s="36"/>
    </row>
    <row r="2" spans="1:55">
      <c r="A2" s="40" t="s">
        <v>301</v>
      </c>
      <c r="B2" s="41">
        <v>131689</v>
      </c>
      <c r="C2" s="41">
        <v>130513</v>
      </c>
      <c r="D2" s="41">
        <v>132187</v>
      </c>
      <c r="E2" s="41">
        <v>133787</v>
      </c>
      <c r="F2" s="41">
        <v>134384</v>
      </c>
      <c r="G2" s="41">
        <v>136546</v>
      </c>
      <c r="H2" s="41">
        <v>139483</v>
      </c>
      <c r="I2" s="41">
        <v>142298</v>
      </c>
      <c r="J2" s="41">
        <v>145516</v>
      </c>
      <c r="K2" s="41">
        <v>149183</v>
      </c>
      <c r="L2" s="41">
        <v>150799</v>
      </c>
      <c r="M2" s="42">
        <v>150617</v>
      </c>
      <c r="N2" s="42">
        <v>148814</v>
      </c>
      <c r="O2" s="42">
        <v>147085</v>
      </c>
      <c r="P2" s="42">
        <v>143802</v>
      </c>
      <c r="Q2" s="42">
        <v>140232</v>
      </c>
      <c r="R2" s="42">
        <v>134845</v>
      </c>
      <c r="S2" s="42">
        <v>127701</v>
      </c>
      <c r="T2" s="42">
        <v>120033</v>
      </c>
      <c r="U2" s="42">
        <v>111826</v>
      </c>
      <c r="V2" s="42">
        <v>104175</v>
      </c>
      <c r="W2" s="42">
        <v>99348</v>
      </c>
      <c r="X2" s="42">
        <v>96699</v>
      </c>
      <c r="Y2" s="43">
        <v>91119</v>
      </c>
      <c r="Z2" s="43">
        <v>87942</v>
      </c>
      <c r="AA2" s="43">
        <v>84468</v>
      </c>
      <c r="AB2" s="43">
        <v>81183</v>
      </c>
      <c r="AC2" s="43">
        <v>78571</v>
      </c>
      <c r="AD2" s="41">
        <v>77556</v>
      </c>
      <c r="AE2" s="41">
        <v>78012</v>
      </c>
      <c r="AF2" s="27">
        <v>79685</v>
      </c>
      <c r="AG2" s="27">
        <v>82395</v>
      </c>
      <c r="AH2" s="302">
        <v>84750</v>
      </c>
      <c r="AI2" s="34">
        <v>86409</v>
      </c>
      <c r="AJ2" s="311">
        <v>76990</v>
      </c>
      <c r="AK2" s="372">
        <v>77450</v>
      </c>
      <c r="AL2" s="372">
        <v>77249</v>
      </c>
      <c r="AM2" s="373">
        <v>77411</v>
      </c>
      <c r="AN2" s="373">
        <v>77507</v>
      </c>
      <c r="AO2" s="373">
        <v>76849</v>
      </c>
      <c r="AP2" s="373">
        <v>76159</v>
      </c>
    </row>
    <row r="3" spans="1:55">
      <c r="A3" s="40" t="s">
        <v>302</v>
      </c>
      <c r="B3" s="41">
        <v>139284</v>
      </c>
      <c r="C3" s="41">
        <v>138175</v>
      </c>
      <c r="D3" s="41">
        <v>137947</v>
      </c>
      <c r="E3" s="41">
        <v>136594</v>
      </c>
      <c r="F3" s="41">
        <v>134240</v>
      </c>
      <c r="G3" s="41">
        <v>133266</v>
      </c>
      <c r="H3" s="41">
        <v>133212</v>
      </c>
      <c r="I3" s="41">
        <v>133845</v>
      </c>
      <c r="J3" s="41">
        <v>134632</v>
      </c>
      <c r="K3" s="41">
        <v>135502</v>
      </c>
      <c r="L3" s="41">
        <v>137771</v>
      </c>
      <c r="M3" s="42">
        <v>139411</v>
      </c>
      <c r="N3" s="42">
        <v>141882</v>
      </c>
      <c r="O3" s="42">
        <v>143708</v>
      </c>
      <c r="P3" s="42">
        <v>147043</v>
      </c>
      <c r="Q3" s="42">
        <v>148045</v>
      </c>
      <c r="R3" s="42">
        <v>145569</v>
      </c>
      <c r="S3" s="42">
        <v>143129</v>
      </c>
      <c r="T3" s="42">
        <v>141301</v>
      </c>
      <c r="U3" s="42">
        <v>138265</v>
      </c>
      <c r="V3" s="42">
        <v>135836</v>
      </c>
      <c r="W3" s="42">
        <v>131807</v>
      </c>
      <c r="X3" s="42">
        <v>125674</v>
      </c>
      <c r="Y3" s="43">
        <v>115144</v>
      </c>
      <c r="Z3" s="43">
        <v>107047</v>
      </c>
      <c r="AA3" s="43">
        <v>100870</v>
      </c>
      <c r="AB3" s="43">
        <v>96934</v>
      </c>
      <c r="AC3" s="43">
        <v>93701</v>
      </c>
      <c r="AD3" s="41">
        <v>90119</v>
      </c>
      <c r="AE3" s="41">
        <v>86417</v>
      </c>
      <c r="AF3" s="27">
        <v>82973</v>
      </c>
      <c r="AG3" s="27">
        <v>79779</v>
      </c>
      <c r="AH3" s="302">
        <v>76712</v>
      </c>
      <c r="AI3" s="34">
        <v>74832</v>
      </c>
      <c r="AJ3" s="311">
        <v>69031</v>
      </c>
      <c r="AK3" s="372">
        <v>69004</v>
      </c>
      <c r="AL3" s="372">
        <v>69932</v>
      </c>
      <c r="AM3" s="373">
        <v>71269</v>
      </c>
      <c r="AN3" s="373">
        <v>72451</v>
      </c>
      <c r="AO3" s="373">
        <v>73539</v>
      </c>
      <c r="AP3" s="373">
        <v>74063</v>
      </c>
    </row>
    <row r="4" spans="1:55">
      <c r="A4" s="40" t="s">
        <v>303</v>
      </c>
      <c r="B4" s="41">
        <v>138704</v>
      </c>
      <c r="C4" s="41">
        <v>138153</v>
      </c>
      <c r="D4" s="41">
        <v>137712</v>
      </c>
      <c r="E4" s="41">
        <v>139032</v>
      </c>
      <c r="F4" s="41">
        <v>142269</v>
      </c>
      <c r="G4" s="41">
        <v>142998</v>
      </c>
      <c r="H4" s="41">
        <v>141744</v>
      </c>
      <c r="I4" s="41">
        <v>139379</v>
      </c>
      <c r="J4" s="41">
        <v>136783</v>
      </c>
      <c r="K4" s="41">
        <v>134640</v>
      </c>
      <c r="L4" s="41">
        <v>133388</v>
      </c>
      <c r="M4" s="42">
        <v>133157</v>
      </c>
      <c r="N4" s="42">
        <v>133254</v>
      </c>
      <c r="O4" s="42">
        <v>133581</v>
      </c>
      <c r="P4" s="42">
        <v>133109</v>
      </c>
      <c r="Q4" s="42">
        <v>132767</v>
      </c>
      <c r="R4" s="42">
        <v>134517</v>
      </c>
      <c r="S4" s="42">
        <v>136206</v>
      </c>
      <c r="T4" s="42">
        <v>137883</v>
      </c>
      <c r="U4" s="42">
        <v>141197</v>
      </c>
      <c r="V4" s="42">
        <v>143146</v>
      </c>
      <c r="W4" s="42">
        <v>142025</v>
      </c>
      <c r="X4" s="42">
        <v>140714</v>
      </c>
      <c r="Y4" s="43">
        <v>138516</v>
      </c>
      <c r="Z4" s="43">
        <v>136193</v>
      </c>
      <c r="AA4" s="43">
        <v>133112</v>
      </c>
      <c r="AB4" s="43">
        <v>128086</v>
      </c>
      <c r="AC4" s="43">
        <v>121430</v>
      </c>
      <c r="AD4" s="41">
        <v>113914</v>
      </c>
      <c r="AE4" s="41">
        <v>106035</v>
      </c>
      <c r="AF4" s="27">
        <v>99395</v>
      </c>
      <c r="AG4" s="27">
        <v>95329</v>
      </c>
      <c r="AH4" s="302">
        <v>91644</v>
      </c>
      <c r="AI4" s="34">
        <v>87294</v>
      </c>
      <c r="AJ4" s="311">
        <v>80024</v>
      </c>
      <c r="AK4" s="372">
        <v>75796</v>
      </c>
      <c r="AL4" s="372">
        <v>72002</v>
      </c>
      <c r="AM4" s="373">
        <v>68846</v>
      </c>
      <c r="AN4" s="373">
        <v>66827</v>
      </c>
      <c r="AO4" s="373">
        <v>65887</v>
      </c>
      <c r="AP4" s="373">
        <v>65878</v>
      </c>
    </row>
    <row r="5" spans="1:55">
      <c r="A5" s="40" t="s">
        <v>304</v>
      </c>
      <c r="B5" s="41">
        <v>155199</v>
      </c>
      <c r="C5" s="41">
        <v>154891</v>
      </c>
      <c r="D5" s="41">
        <v>148766</v>
      </c>
      <c r="E5" s="41">
        <v>147251</v>
      </c>
      <c r="F5" s="41">
        <v>144185</v>
      </c>
      <c r="G5" s="41">
        <v>141939</v>
      </c>
      <c r="H5" s="41">
        <v>142305</v>
      </c>
      <c r="I5" s="41">
        <v>142741</v>
      </c>
      <c r="J5" s="41">
        <v>143935</v>
      </c>
      <c r="K5" s="41">
        <v>145026</v>
      </c>
      <c r="L5" s="41">
        <v>145335</v>
      </c>
      <c r="M5" s="42">
        <v>145358</v>
      </c>
      <c r="N5" s="42">
        <v>142451</v>
      </c>
      <c r="O5" s="42">
        <v>137971</v>
      </c>
      <c r="P5" s="42">
        <v>135002</v>
      </c>
      <c r="Q5" s="42">
        <v>131537</v>
      </c>
      <c r="R5" s="42">
        <v>129826</v>
      </c>
      <c r="S5" s="42">
        <v>128542</v>
      </c>
      <c r="T5" s="42">
        <v>128079</v>
      </c>
      <c r="U5" s="42">
        <v>127145</v>
      </c>
      <c r="V5" s="42">
        <v>127491</v>
      </c>
      <c r="W5" s="42">
        <v>130080</v>
      </c>
      <c r="X5" s="42">
        <v>132781</v>
      </c>
      <c r="Y5" s="43">
        <v>136538</v>
      </c>
      <c r="Z5" s="43">
        <v>140686</v>
      </c>
      <c r="AA5" s="43">
        <v>141389</v>
      </c>
      <c r="AB5" s="43">
        <v>140302</v>
      </c>
      <c r="AC5" s="43">
        <v>139080</v>
      </c>
      <c r="AD5" s="41">
        <v>136998</v>
      </c>
      <c r="AE5" s="41">
        <v>134401</v>
      </c>
      <c r="AF5" s="27">
        <v>131324</v>
      </c>
      <c r="AG5" s="27">
        <v>126232</v>
      </c>
      <c r="AH5" s="302">
        <v>118623</v>
      </c>
      <c r="AI5" s="34">
        <v>110176</v>
      </c>
      <c r="AJ5" s="311">
        <v>99735</v>
      </c>
      <c r="AK5" s="372">
        <v>93604</v>
      </c>
      <c r="AL5" s="372">
        <v>89285</v>
      </c>
      <c r="AM5" s="373">
        <v>85448</v>
      </c>
      <c r="AN5" s="373">
        <v>81035</v>
      </c>
      <c r="AO5" s="373">
        <v>76378</v>
      </c>
      <c r="AP5" s="373">
        <v>72171</v>
      </c>
    </row>
    <row r="6" spans="1:55">
      <c r="A6" s="40" t="s">
        <v>305</v>
      </c>
      <c r="B6" s="41">
        <v>134427</v>
      </c>
      <c r="C6" s="41">
        <v>138589</v>
      </c>
      <c r="D6" s="41">
        <v>142873</v>
      </c>
      <c r="E6" s="41">
        <v>146824</v>
      </c>
      <c r="F6" s="41">
        <v>151795</v>
      </c>
      <c r="G6" s="41">
        <v>152980</v>
      </c>
      <c r="H6" s="41">
        <v>150473</v>
      </c>
      <c r="I6" s="41">
        <v>148188</v>
      </c>
      <c r="J6" s="41">
        <v>145729</v>
      </c>
      <c r="K6" s="41">
        <v>143986</v>
      </c>
      <c r="L6" s="41">
        <v>143847</v>
      </c>
      <c r="M6" s="42">
        <v>143617</v>
      </c>
      <c r="N6" s="42">
        <v>143222</v>
      </c>
      <c r="O6" s="42">
        <v>144801</v>
      </c>
      <c r="P6" s="42">
        <v>144958</v>
      </c>
      <c r="Q6" s="42">
        <v>144602</v>
      </c>
      <c r="R6" s="42">
        <v>143642</v>
      </c>
      <c r="S6" s="42">
        <v>138577</v>
      </c>
      <c r="T6" s="42">
        <v>132385</v>
      </c>
      <c r="U6" s="42">
        <v>127740</v>
      </c>
      <c r="V6" s="42">
        <v>123260</v>
      </c>
      <c r="W6" s="42">
        <v>120542</v>
      </c>
      <c r="X6" s="42">
        <v>119383</v>
      </c>
      <c r="Y6" s="43">
        <v>119120</v>
      </c>
      <c r="Z6" s="43">
        <v>121864</v>
      </c>
      <c r="AA6" s="43">
        <v>124841</v>
      </c>
      <c r="AB6" s="43">
        <v>127662</v>
      </c>
      <c r="AC6" s="43">
        <v>130233</v>
      </c>
      <c r="AD6" s="41">
        <v>133973</v>
      </c>
      <c r="AE6" s="41">
        <v>137683</v>
      </c>
      <c r="AF6" s="27">
        <v>138913</v>
      </c>
      <c r="AG6" s="27">
        <v>137593</v>
      </c>
      <c r="AH6" s="302">
        <v>133182</v>
      </c>
      <c r="AI6" s="34">
        <v>127001</v>
      </c>
      <c r="AJ6" s="311">
        <v>110229</v>
      </c>
      <c r="AK6" s="372">
        <v>110043</v>
      </c>
      <c r="AL6" s="372">
        <v>108219</v>
      </c>
      <c r="AM6" s="373">
        <v>103455</v>
      </c>
      <c r="AN6" s="373">
        <v>96853</v>
      </c>
      <c r="AO6" s="373">
        <v>89369</v>
      </c>
      <c r="AP6" s="373">
        <v>83286</v>
      </c>
    </row>
    <row r="7" spans="1:55">
      <c r="A7" s="40" t="s">
        <v>306</v>
      </c>
      <c r="B7" s="41">
        <v>122359</v>
      </c>
      <c r="C7" s="41">
        <v>122601</v>
      </c>
      <c r="D7" s="41">
        <v>123687</v>
      </c>
      <c r="E7" s="41">
        <v>124593</v>
      </c>
      <c r="F7" s="41">
        <v>126931</v>
      </c>
      <c r="G7" s="41">
        <v>132500</v>
      </c>
      <c r="H7" s="41">
        <v>139275</v>
      </c>
      <c r="I7" s="41">
        <v>145125</v>
      </c>
      <c r="J7" s="41">
        <v>150983</v>
      </c>
      <c r="K7" s="41">
        <v>155503</v>
      </c>
      <c r="L7" s="41">
        <v>157345</v>
      </c>
      <c r="M7" s="42">
        <v>157465</v>
      </c>
      <c r="N7" s="42">
        <v>156652</v>
      </c>
      <c r="O7" s="42">
        <v>152730</v>
      </c>
      <c r="P7" s="42">
        <v>148762</v>
      </c>
      <c r="Q7" s="42">
        <v>145060</v>
      </c>
      <c r="R7" s="42">
        <v>141023</v>
      </c>
      <c r="S7" s="42">
        <v>138731</v>
      </c>
      <c r="T7" s="42">
        <v>138489</v>
      </c>
      <c r="U7" s="42">
        <v>136483</v>
      </c>
      <c r="V7" s="42">
        <v>134216</v>
      </c>
      <c r="W7" s="42">
        <v>131123</v>
      </c>
      <c r="X7" s="42">
        <v>125562</v>
      </c>
      <c r="Y7" s="43">
        <v>119109</v>
      </c>
      <c r="Z7" s="43">
        <v>116209</v>
      </c>
      <c r="AA7" s="43">
        <v>114649</v>
      </c>
      <c r="AB7" s="43">
        <v>113937</v>
      </c>
      <c r="AC7" s="43">
        <v>113898</v>
      </c>
      <c r="AD7" s="41">
        <v>114921</v>
      </c>
      <c r="AE7" s="41">
        <v>116592</v>
      </c>
      <c r="AF7" s="27">
        <v>119267</v>
      </c>
      <c r="AG7" s="27">
        <v>122511</v>
      </c>
      <c r="AH7" s="302">
        <v>121939</v>
      </c>
      <c r="AI7" s="34">
        <v>120249</v>
      </c>
      <c r="AJ7" s="311">
        <v>98582</v>
      </c>
      <c r="AK7" s="372">
        <v>99495</v>
      </c>
      <c r="AL7" s="372">
        <v>99919</v>
      </c>
      <c r="AM7" s="373">
        <v>100471</v>
      </c>
      <c r="AN7" s="373">
        <v>100254</v>
      </c>
      <c r="AO7" s="373">
        <v>98882</v>
      </c>
      <c r="AP7" s="373">
        <v>97886</v>
      </c>
    </row>
    <row r="8" spans="1:55">
      <c r="A8" s="40" t="s">
        <v>307</v>
      </c>
      <c r="B8" s="41">
        <v>105596</v>
      </c>
      <c r="C8" s="41">
        <v>106365</v>
      </c>
      <c r="D8" s="41">
        <v>111848</v>
      </c>
      <c r="E8" s="41">
        <v>114676</v>
      </c>
      <c r="F8" s="41">
        <v>117623</v>
      </c>
      <c r="G8" s="41">
        <v>119595</v>
      </c>
      <c r="H8" s="41">
        <v>120797</v>
      </c>
      <c r="I8" s="41">
        <v>122413</v>
      </c>
      <c r="J8" s="41">
        <v>124516</v>
      </c>
      <c r="K8" s="41">
        <v>128021</v>
      </c>
      <c r="L8" s="41">
        <v>134101</v>
      </c>
      <c r="M8" s="42">
        <v>137975</v>
      </c>
      <c r="N8" s="42">
        <v>143073</v>
      </c>
      <c r="O8" s="42">
        <v>148057</v>
      </c>
      <c r="P8" s="42">
        <v>152745</v>
      </c>
      <c r="Q8" s="42">
        <v>153104</v>
      </c>
      <c r="R8" s="42">
        <v>150725</v>
      </c>
      <c r="S8" s="42">
        <v>148538</v>
      </c>
      <c r="T8" s="42">
        <v>143757</v>
      </c>
      <c r="U8" s="42">
        <v>138967</v>
      </c>
      <c r="V8" s="42">
        <v>134916</v>
      </c>
      <c r="W8" s="42">
        <v>130351</v>
      </c>
      <c r="X8" s="42">
        <v>127451</v>
      </c>
      <c r="Y8" s="43">
        <v>126013</v>
      </c>
      <c r="Z8" s="43">
        <v>124929</v>
      </c>
      <c r="AA8" s="43">
        <v>124028</v>
      </c>
      <c r="AB8" s="43">
        <v>121916</v>
      </c>
      <c r="AC8" s="43">
        <v>118658</v>
      </c>
      <c r="AD8" s="41">
        <v>115356</v>
      </c>
      <c r="AE8" s="41">
        <v>112497</v>
      </c>
      <c r="AF8" s="27">
        <v>110606</v>
      </c>
      <c r="AG8" s="27">
        <v>109666</v>
      </c>
      <c r="AH8" s="302">
        <v>107082</v>
      </c>
      <c r="AI8" s="34">
        <v>104308</v>
      </c>
      <c r="AJ8" s="311">
        <v>89229</v>
      </c>
      <c r="AK8" s="372">
        <v>88515</v>
      </c>
      <c r="AL8" s="372">
        <v>89381</v>
      </c>
      <c r="AM8" s="373">
        <v>90329</v>
      </c>
      <c r="AN8" s="373">
        <v>91092</v>
      </c>
      <c r="AO8" s="373">
        <v>92555</v>
      </c>
      <c r="AP8" s="373">
        <v>94487</v>
      </c>
    </row>
    <row r="9" spans="1:55">
      <c r="A9" s="40" t="s">
        <v>308</v>
      </c>
      <c r="B9" s="41">
        <v>115754</v>
      </c>
      <c r="C9" s="41">
        <v>114105</v>
      </c>
      <c r="D9" s="41">
        <v>108874</v>
      </c>
      <c r="E9" s="41">
        <v>105106</v>
      </c>
      <c r="F9" s="41">
        <v>101487</v>
      </c>
      <c r="G9" s="41">
        <v>100748</v>
      </c>
      <c r="H9" s="41">
        <v>104287</v>
      </c>
      <c r="I9" s="41">
        <v>108997</v>
      </c>
      <c r="J9" s="41">
        <v>112887</v>
      </c>
      <c r="K9" s="41">
        <v>117027</v>
      </c>
      <c r="L9" s="41">
        <v>119862</v>
      </c>
      <c r="M9" s="42">
        <v>120021</v>
      </c>
      <c r="N9" s="42">
        <v>120510</v>
      </c>
      <c r="O9" s="42">
        <v>121083</v>
      </c>
      <c r="P9" s="42">
        <v>122368</v>
      </c>
      <c r="Q9" s="42">
        <v>124919</v>
      </c>
      <c r="R9" s="42">
        <v>129807</v>
      </c>
      <c r="S9" s="42">
        <v>133359</v>
      </c>
      <c r="T9" s="42">
        <v>137300</v>
      </c>
      <c r="U9" s="42">
        <v>140927</v>
      </c>
      <c r="V9" s="42">
        <v>141406</v>
      </c>
      <c r="W9" s="42">
        <v>139519</v>
      </c>
      <c r="X9" s="42">
        <v>137654</v>
      </c>
      <c r="Y9" s="43">
        <v>132721</v>
      </c>
      <c r="Z9" s="43">
        <v>128491</v>
      </c>
      <c r="AA9" s="43">
        <v>125521</v>
      </c>
      <c r="AB9" s="43">
        <v>123574</v>
      </c>
      <c r="AC9" s="43">
        <v>122660</v>
      </c>
      <c r="AD9" s="41">
        <v>121992</v>
      </c>
      <c r="AE9" s="41">
        <v>121482</v>
      </c>
      <c r="AF9" s="27">
        <v>120051</v>
      </c>
      <c r="AG9" s="27">
        <v>117120</v>
      </c>
      <c r="AH9" s="302">
        <v>111838</v>
      </c>
      <c r="AI9" s="34">
        <v>105960</v>
      </c>
      <c r="AJ9" s="311">
        <v>93818</v>
      </c>
      <c r="AK9" s="372">
        <v>91233</v>
      </c>
      <c r="AL9" s="372">
        <v>89203</v>
      </c>
      <c r="AM9" s="373">
        <v>87159</v>
      </c>
      <c r="AN9" s="373">
        <v>84845</v>
      </c>
      <c r="AO9" s="373">
        <v>83296</v>
      </c>
      <c r="AP9" s="373">
        <v>84162</v>
      </c>
    </row>
    <row r="10" spans="1:55">
      <c r="A10" s="40" t="s">
        <v>309</v>
      </c>
      <c r="B10" s="41">
        <v>110705</v>
      </c>
      <c r="C10" s="41">
        <v>111581</v>
      </c>
      <c r="D10" s="41">
        <v>111234</v>
      </c>
      <c r="E10" s="41">
        <v>110933</v>
      </c>
      <c r="F10" s="41">
        <v>110958</v>
      </c>
      <c r="G10" s="41">
        <v>110252</v>
      </c>
      <c r="H10" s="41">
        <v>107508</v>
      </c>
      <c r="I10" s="41">
        <v>105156</v>
      </c>
      <c r="J10" s="41">
        <v>103157</v>
      </c>
      <c r="K10" s="41">
        <v>100353</v>
      </c>
      <c r="L10" s="41">
        <v>99844</v>
      </c>
      <c r="M10" s="42">
        <v>100794</v>
      </c>
      <c r="N10" s="42">
        <v>105683</v>
      </c>
      <c r="O10" s="42">
        <v>107651</v>
      </c>
      <c r="P10" s="42">
        <v>110498</v>
      </c>
      <c r="Q10" s="42">
        <v>112163</v>
      </c>
      <c r="R10" s="42">
        <v>111324</v>
      </c>
      <c r="S10" s="42">
        <v>110886</v>
      </c>
      <c r="T10" s="42">
        <v>110743</v>
      </c>
      <c r="U10" s="42">
        <v>111632</v>
      </c>
      <c r="V10" s="42">
        <v>114182</v>
      </c>
      <c r="W10" s="42">
        <v>119125</v>
      </c>
      <c r="X10" s="42">
        <v>122545</v>
      </c>
      <c r="Y10" s="43">
        <v>129145</v>
      </c>
      <c r="Z10" s="43">
        <v>131903</v>
      </c>
      <c r="AA10" s="43">
        <v>132515</v>
      </c>
      <c r="AB10" s="43">
        <v>132120</v>
      </c>
      <c r="AC10" s="43">
        <v>130812</v>
      </c>
      <c r="AD10" s="41">
        <v>127707</v>
      </c>
      <c r="AE10" s="41">
        <v>124128</v>
      </c>
      <c r="AF10" s="27">
        <v>121285</v>
      </c>
      <c r="AG10" s="27">
        <v>118973</v>
      </c>
      <c r="AH10" s="302">
        <v>116057</v>
      </c>
      <c r="AI10" s="34">
        <v>113564</v>
      </c>
      <c r="AJ10" s="311">
        <v>103082</v>
      </c>
      <c r="AK10" s="372">
        <v>101097</v>
      </c>
      <c r="AL10" s="372">
        <v>98505</v>
      </c>
      <c r="AM10" s="373">
        <v>95371</v>
      </c>
      <c r="AN10" s="373">
        <v>91787</v>
      </c>
      <c r="AO10" s="373">
        <v>88936</v>
      </c>
      <c r="AP10" s="373">
        <v>87514</v>
      </c>
    </row>
    <row r="11" spans="1:55">
      <c r="A11" s="40" t="s">
        <v>310</v>
      </c>
      <c r="B11" s="41">
        <v>107906</v>
      </c>
      <c r="C11" s="41">
        <v>107206</v>
      </c>
      <c r="D11" s="41">
        <v>105553</v>
      </c>
      <c r="E11" s="41">
        <v>105519</v>
      </c>
      <c r="F11" s="41">
        <v>105673</v>
      </c>
      <c r="G11" s="41">
        <v>105352</v>
      </c>
      <c r="H11" s="41">
        <v>105801</v>
      </c>
      <c r="I11" s="41">
        <v>106279</v>
      </c>
      <c r="J11" s="41">
        <v>106407</v>
      </c>
      <c r="K11" s="41">
        <v>107433</v>
      </c>
      <c r="L11" s="41">
        <v>107830</v>
      </c>
      <c r="M11" s="42">
        <v>106998</v>
      </c>
      <c r="N11" s="42">
        <v>103321</v>
      </c>
      <c r="O11" s="42">
        <v>102159</v>
      </c>
      <c r="P11" s="42">
        <v>97309</v>
      </c>
      <c r="Q11" s="42">
        <v>93484</v>
      </c>
      <c r="R11" s="42">
        <v>93266</v>
      </c>
      <c r="S11" s="42">
        <v>96694</v>
      </c>
      <c r="T11" s="42">
        <v>97755</v>
      </c>
      <c r="U11" s="42">
        <v>99864</v>
      </c>
      <c r="V11" s="42">
        <v>102062</v>
      </c>
      <c r="W11" s="42">
        <v>101870</v>
      </c>
      <c r="X11" s="42">
        <v>102059</v>
      </c>
      <c r="Y11" s="43">
        <v>103898</v>
      </c>
      <c r="Z11" s="43">
        <v>105276</v>
      </c>
      <c r="AA11" s="43">
        <v>109308</v>
      </c>
      <c r="AB11" s="43">
        <v>114284</v>
      </c>
      <c r="AC11" s="43">
        <v>118387</v>
      </c>
      <c r="AD11" s="41">
        <v>122108</v>
      </c>
      <c r="AE11" s="41">
        <v>125204</v>
      </c>
      <c r="AF11" s="27">
        <v>126530</v>
      </c>
      <c r="AG11" s="27">
        <v>125649</v>
      </c>
      <c r="AH11" s="302">
        <v>122560</v>
      </c>
      <c r="AI11" s="34">
        <v>118502</v>
      </c>
      <c r="AJ11" s="311">
        <v>105353</v>
      </c>
      <c r="AK11" s="372">
        <v>102448</v>
      </c>
      <c r="AL11" s="372">
        <v>100503</v>
      </c>
      <c r="AM11" s="373">
        <v>98989</v>
      </c>
      <c r="AN11" s="373">
        <v>97939</v>
      </c>
      <c r="AO11" s="373">
        <v>97258</v>
      </c>
      <c r="AP11" s="373">
        <v>96589</v>
      </c>
    </row>
    <row r="12" spans="1:55">
      <c r="A12" s="40" t="s">
        <v>311</v>
      </c>
      <c r="B12" s="41">
        <v>84101</v>
      </c>
      <c r="C12" s="41">
        <v>87402</v>
      </c>
      <c r="D12" s="41">
        <v>94474</v>
      </c>
      <c r="E12" s="41">
        <v>98561</v>
      </c>
      <c r="F12" s="41">
        <v>100484</v>
      </c>
      <c r="G12" s="41">
        <v>100520</v>
      </c>
      <c r="H12" s="41">
        <v>99503</v>
      </c>
      <c r="I12" s="41">
        <v>98863</v>
      </c>
      <c r="J12" s="41">
        <v>99564</v>
      </c>
      <c r="K12" s="41">
        <v>100088</v>
      </c>
      <c r="L12" s="41">
        <v>100190</v>
      </c>
      <c r="M12" s="42">
        <v>100568</v>
      </c>
      <c r="N12" s="42">
        <v>101418</v>
      </c>
      <c r="O12" s="42">
        <v>100388</v>
      </c>
      <c r="P12" s="42">
        <v>100635</v>
      </c>
      <c r="Q12" s="42">
        <v>100733</v>
      </c>
      <c r="R12" s="42">
        <v>98142</v>
      </c>
      <c r="S12" s="42">
        <v>93812</v>
      </c>
      <c r="T12" s="42">
        <v>92059</v>
      </c>
      <c r="U12" s="42">
        <v>87257</v>
      </c>
      <c r="V12" s="42">
        <v>83760</v>
      </c>
      <c r="W12" s="42">
        <v>83723</v>
      </c>
      <c r="X12" s="42">
        <v>87031</v>
      </c>
      <c r="Y12" s="43">
        <v>89979</v>
      </c>
      <c r="Z12" s="43">
        <v>92622</v>
      </c>
      <c r="AA12" s="43">
        <v>94035</v>
      </c>
      <c r="AB12" s="43">
        <v>94596</v>
      </c>
      <c r="AC12" s="43">
        <v>95480</v>
      </c>
      <c r="AD12" s="41">
        <v>96408</v>
      </c>
      <c r="AE12" s="41">
        <v>97963</v>
      </c>
      <c r="AF12" s="27">
        <v>101005</v>
      </c>
      <c r="AG12" s="27">
        <v>105478</v>
      </c>
      <c r="AH12" s="302">
        <v>109092</v>
      </c>
      <c r="AI12" s="34">
        <v>111931</v>
      </c>
      <c r="AJ12" s="311">
        <v>110854</v>
      </c>
      <c r="AK12" s="372">
        <v>110413</v>
      </c>
      <c r="AL12" s="372">
        <v>108547</v>
      </c>
      <c r="AM12" s="373">
        <v>105736</v>
      </c>
      <c r="AN12" s="373">
        <v>102118</v>
      </c>
      <c r="AO12" s="373">
        <v>98901</v>
      </c>
      <c r="AP12" s="373">
        <v>96903</v>
      </c>
    </row>
    <row r="13" spans="1:55">
      <c r="A13" s="40" t="s">
        <v>312</v>
      </c>
      <c r="B13" s="41">
        <v>60847</v>
      </c>
      <c r="C13" s="41">
        <v>63598</v>
      </c>
      <c r="D13" s="41">
        <v>67907</v>
      </c>
      <c r="E13" s="41">
        <v>69849</v>
      </c>
      <c r="F13" s="41">
        <v>73121</v>
      </c>
      <c r="G13" s="41">
        <v>77818</v>
      </c>
      <c r="H13" s="41">
        <v>82626</v>
      </c>
      <c r="I13" s="41">
        <v>87040</v>
      </c>
      <c r="J13" s="41">
        <v>90800</v>
      </c>
      <c r="K13" s="41">
        <v>92896</v>
      </c>
      <c r="L13" s="41">
        <v>93234</v>
      </c>
      <c r="M13" s="42">
        <v>93259</v>
      </c>
      <c r="N13" s="42">
        <v>92514</v>
      </c>
      <c r="O13" s="42">
        <v>91767</v>
      </c>
      <c r="P13" s="42">
        <v>92482</v>
      </c>
      <c r="Q13" s="42">
        <v>91379</v>
      </c>
      <c r="R13" s="42">
        <v>90701</v>
      </c>
      <c r="S13" s="42">
        <v>90327</v>
      </c>
      <c r="T13" s="42">
        <v>88468</v>
      </c>
      <c r="U13" s="42">
        <v>88337</v>
      </c>
      <c r="V13" s="42">
        <v>88525</v>
      </c>
      <c r="W13" s="42">
        <v>86610</v>
      </c>
      <c r="X13" s="42">
        <v>83126</v>
      </c>
      <c r="Y13" s="43">
        <v>80498</v>
      </c>
      <c r="Z13" s="43">
        <v>76702</v>
      </c>
      <c r="AA13" s="43">
        <v>75393</v>
      </c>
      <c r="AB13" s="43">
        <v>76908</v>
      </c>
      <c r="AC13" s="43">
        <v>78988</v>
      </c>
      <c r="AD13" s="41">
        <v>81111</v>
      </c>
      <c r="AE13" s="41">
        <v>83635</v>
      </c>
      <c r="AF13" s="27">
        <v>85009</v>
      </c>
      <c r="AG13" s="27">
        <v>85279</v>
      </c>
      <c r="AH13" s="302">
        <v>85512</v>
      </c>
      <c r="AI13" s="34">
        <v>86312</v>
      </c>
      <c r="AJ13" s="311">
        <v>84799</v>
      </c>
      <c r="AK13" s="372">
        <v>88386</v>
      </c>
      <c r="AL13" s="372">
        <v>92698</v>
      </c>
      <c r="AM13" s="373">
        <v>96361</v>
      </c>
      <c r="AN13" s="373">
        <v>99625</v>
      </c>
      <c r="AO13" s="373">
        <v>101800</v>
      </c>
      <c r="AP13" s="373">
        <v>101970</v>
      </c>
    </row>
    <row r="14" spans="1:55">
      <c r="A14" s="40" t="s">
        <v>313</v>
      </c>
      <c r="B14" s="41">
        <v>41747</v>
      </c>
      <c r="C14" s="41">
        <v>40881</v>
      </c>
      <c r="D14" s="41">
        <v>41555</v>
      </c>
      <c r="E14" s="41">
        <v>44365</v>
      </c>
      <c r="F14" s="41">
        <v>48516</v>
      </c>
      <c r="G14" s="41">
        <v>53710</v>
      </c>
      <c r="H14" s="41">
        <v>57954</v>
      </c>
      <c r="I14" s="41">
        <v>60810</v>
      </c>
      <c r="J14" s="41">
        <v>63114</v>
      </c>
      <c r="K14" s="41">
        <v>66588</v>
      </c>
      <c r="L14" s="41">
        <v>71097</v>
      </c>
      <c r="M14" s="42">
        <v>73963</v>
      </c>
      <c r="N14" s="42">
        <v>77091</v>
      </c>
      <c r="O14" s="42">
        <v>80598</v>
      </c>
      <c r="P14" s="42">
        <v>82427</v>
      </c>
      <c r="Q14" s="42">
        <v>82479</v>
      </c>
      <c r="R14" s="42">
        <v>80952</v>
      </c>
      <c r="S14" s="42">
        <v>79606</v>
      </c>
      <c r="T14" s="42">
        <v>78715</v>
      </c>
      <c r="U14" s="42">
        <v>78901</v>
      </c>
      <c r="V14" s="42">
        <v>77986</v>
      </c>
      <c r="W14" s="42">
        <v>77634</v>
      </c>
      <c r="X14" s="42">
        <v>77947</v>
      </c>
      <c r="Y14" s="43">
        <v>76957</v>
      </c>
      <c r="Z14" s="43">
        <v>77035</v>
      </c>
      <c r="AA14" s="43">
        <v>76416</v>
      </c>
      <c r="AB14" s="43">
        <v>74504</v>
      </c>
      <c r="AC14" s="43">
        <v>72710</v>
      </c>
      <c r="AD14" s="41">
        <v>70354</v>
      </c>
      <c r="AE14" s="41">
        <v>67188</v>
      </c>
      <c r="AF14" s="27">
        <v>65493</v>
      </c>
      <c r="AG14" s="27">
        <v>66373</v>
      </c>
      <c r="AH14" s="302">
        <v>68120</v>
      </c>
      <c r="AI14" s="34">
        <v>70147</v>
      </c>
      <c r="AJ14" s="311">
        <v>71597</v>
      </c>
      <c r="AK14" s="372">
        <v>72515</v>
      </c>
      <c r="AL14" s="372">
        <v>72507</v>
      </c>
      <c r="AM14" s="373">
        <v>72856</v>
      </c>
      <c r="AN14" s="373">
        <v>73748</v>
      </c>
      <c r="AO14" s="373">
        <v>75612</v>
      </c>
      <c r="AP14" s="373">
        <v>79287</v>
      </c>
    </row>
    <row r="15" spans="1:55">
      <c r="A15" s="40" t="s">
        <v>160</v>
      </c>
      <c r="B15" s="41">
        <v>47089</v>
      </c>
      <c r="C15" s="41">
        <v>44191</v>
      </c>
      <c r="D15" s="41">
        <v>42421</v>
      </c>
      <c r="E15" s="41">
        <v>40314</v>
      </c>
      <c r="F15" s="41">
        <v>37660</v>
      </c>
      <c r="G15" s="41">
        <v>35175</v>
      </c>
      <c r="H15" s="41">
        <v>34056</v>
      </c>
      <c r="I15" s="41">
        <v>35150</v>
      </c>
      <c r="J15" s="41">
        <v>37956</v>
      </c>
      <c r="K15" s="41">
        <v>41765</v>
      </c>
      <c r="L15" s="41">
        <v>46501</v>
      </c>
      <c r="M15" s="42">
        <v>49370</v>
      </c>
      <c r="N15" s="42">
        <v>52171</v>
      </c>
      <c r="O15" s="42">
        <v>54051</v>
      </c>
      <c r="P15" s="42">
        <v>55738</v>
      </c>
      <c r="Q15" s="42">
        <v>58769</v>
      </c>
      <c r="R15" s="42">
        <v>61707</v>
      </c>
      <c r="S15" s="42">
        <v>63501</v>
      </c>
      <c r="T15" s="42">
        <v>65929</v>
      </c>
      <c r="U15" s="42">
        <v>67325</v>
      </c>
      <c r="V15" s="42">
        <v>67544</v>
      </c>
      <c r="W15" s="42">
        <v>66737</v>
      </c>
      <c r="X15" s="42">
        <v>65921</v>
      </c>
      <c r="Y15" s="43">
        <v>65888</v>
      </c>
      <c r="Z15" s="43">
        <v>65601</v>
      </c>
      <c r="AA15" s="43">
        <v>65100</v>
      </c>
      <c r="AB15" s="43">
        <v>65092</v>
      </c>
      <c r="AC15" s="43">
        <v>64870</v>
      </c>
      <c r="AD15" s="41">
        <v>64237</v>
      </c>
      <c r="AE15" s="41">
        <v>64004</v>
      </c>
      <c r="AF15" s="27">
        <v>63470</v>
      </c>
      <c r="AG15" s="27">
        <v>61659</v>
      </c>
      <c r="AH15" s="302">
        <v>59993</v>
      </c>
      <c r="AI15" s="34">
        <v>58303</v>
      </c>
      <c r="AJ15" s="311">
        <v>54690</v>
      </c>
      <c r="AK15" s="372">
        <v>53668</v>
      </c>
      <c r="AL15" s="372">
        <v>55181</v>
      </c>
      <c r="AM15" s="373">
        <v>57241</v>
      </c>
      <c r="AN15" s="373">
        <v>58819</v>
      </c>
      <c r="AO15" s="373">
        <v>60687</v>
      </c>
      <c r="AP15" s="373">
        <v>61795</v>
      </c>
    </row>
    <row r="16" spans="1:55">
      <c r="A16" s="40" t="s">
        <v>314</v>
      </c>
      <c r="B16" s="41">
        <v>49450</v>
      </c>
      <c r="C16" s="41">
        <v>51350</v>
      </c>
      <c r="D16" s="41">
        <v>47678</v>
      </c>
      <c r="E16" s="41">
        <v>44759</v>
      </c>
      <c r="F16" s="41">
        <v>41376</v>
      </c>
      <c r="G16" s="41">
        <v>37447</v>
      </c>
      <c r="H16" s="41">
        <v>34991</v>
      </c>
      <c r="I16" s="41">
        <v>33879</v>
      </c>
      <c r="J16" s="41">
        <v>32244</v>
      </c>
      <c r="K16" s="41">
        <v>30277</v>
      </c>
      <c r="L16" s="41">
        <v>28392</v>
      </c>
      <c r="M16" s="42">
        <v>27515</v>
      </c>
      <c r="N16" s="42">
        <v>27418</v>
      </c>
      <c r="O16" s="42">
        <v>29364</v>
      </c>
      <c r="P16" s="42">
        <v>31922</v>
      </c>
      <c r="Q16" s="42">
        <v>35178</v>
      </c>
      <c r="R16" s="42">
        <v>38615</v>
      </c>
      <c r="S16" s="42">
        <v>40355</v>
      </c>
      <c r="T16" s="42">
        <v>41489</v>
      </c>
      <c r="U16" s="42">
        <v>42520</v>
      </c>
      <c r="V16" s="42">
        <v>44825</v>
      </c>
      <c r="W16" s="42">
        <v>47370</v>
      </c>
      <c r="X16" s="42">
        <v>49110</v>
      </c>
      <c r="Y16" s="43">
        <v>51824</v>
      </c>
      <c r="Z16" s="43">
        <v>53028</v>
      </c>
      <c r="AA16" s="43">
        <v>52893</v>
      </c>
      <c r="AB16" s="43">
        <v>52466</v>
      </c>
      <c r="AC16" s="43">
        <v>52044</v>
      </c>
      <c r="AD16" s="41">
        <v>51849</v>
      </c>
      <c r="AE16" s="41">
        <v>51658</v>
      </c>
      <c r="AF16" s="27">
        <v>51264</v>
      </c>
      <c r="AG16" s="27">
        <v>51206</v>
      </c>
      <c r="AH16" s="302">
        <v>50996</v>
      </c>
      <c r="AI16" s="34">
        <v>50583</v>
      </c>
      <c r="AJ16" s="311">
        <v>52108</v>
      </c>
      <c r="AK16" s="372">
        <v>51266</v>
      </c>
      <c r="AL16" s="372">
        <v>49232</v>
      </c>
      <c r="AM16" s="373">
        <v>47318</v>
      </c>
      <c r="AN16" s="373">
        <v>45571</v>
      </c>
      <c r="AO16" s="373">
        <v>43738</v>
      </c>
      <c r="AP16" s="373">
        <v>43113</v>
      </c>
    </row>
    <row r="17" spans="1:54">
      <c r="A17" s="40" t="s">
        <v>315</v>
      </c>
      <c r="B17" s="41">
        <v>26623</v>
      </c>
      <c r="C17" s="41">
        <v>27057</v>
      </c>
      <c r="D17" s="41">
        <v>28689</v>
      </c>
      <c r="E17" s="41">
        <v>29750</v>
      </c>
      <c r="F17" s="41">
        <v>32038</v>
      </c>
      <c r="G17" s="41">
        <v>34439</v>
      </c>
      <c r="H17" s="41">
        <v>34899</v>
      </c>
      <c r="I17" s="41">
        <v>33511</v>
      </c>
      <c r="J17" s="41">
        <v>31876</v>
      </c>
      <c r="K17" s="41">
        <v>30007</v>
      </c>
      <c r="L17" s="41">
        <v>28118</v>
      </c>
      <c r="M17" s="42">
        <v>24878</v>
      </c>
      <c r="N17" s="42">
        <v>24712</v>
      </c>
      <c r="O17" s="42">
        <v>23717</v>
      </c>
      <c r="P17" s="42">
        <v>22542</v>
      </c>
      <c r="Q17" s="42">
        <v>20664</v>
      </c>
      <c r="R17" s="42">
        <v>19257</v>
      </c>
      <c r="S17" s="42">
        <v>19017</v>
      </c>
      <c r="T17" s="42">
        <v>20394</v>
      </c>
      <c r="U17" s="42">
        <v>22043</v>
      </c>
      <c r="V17" s="42">
        <v>24304</v>
      </c>
      <c r="W17" s="42">
        <v>26806</v>
      </c>
      <c r="X17" s="42">
        <v>28133</v>
      </c>
      <c r="Y17" s="43">
        <v>28831</v>
      </c>
      <c r="Z17" s="43">
        <v>31055</v>
      </c>
      <c r="AA17" s="43">
        <v>33042</v>
      </c>
      <c r="AB17" s="43">
        <v>34436</v>
      </c>
      <c r="AC17" s="43">
        <v>35702</v>
      </c>
      <c r="AD17" s="41">
        <v>37185</v>
      </c>
      <c r="AE17" s="41">
        <v>37794</v>
      </c>
      <c r="AF17" s="27">
        <v>37880</v>
      </c>
      <c r="AG17" s="27">
        <v>37717</v>
      </c>
      <c r="AH17" s="302">
        <v>37379</v>
      </c>
      <c r="AI17" s="34">
        <v>37441</v>
      </c>
      <c r="AJ17" s="311">
        <v>38873</v>
      </c>
      <c r="AK17" s="372">
        <v>39045</v>
      </c>
      <c r="AL17" s="372">
        <v>39442</v>
      </c>
      <c r="AM17" s="373">
        <v>39525</v>
      </c>
      <c r="AN17" s="373">
        <v>39230</v>
      </c>
      <c r="AO17" s="373">
        <v>38969</v>
      </c>
      <c r="AP17" s="373">
        <v>38305</v>
      </c>
    </row>
    <row r="18" spans="1:54">
      <c r="A18" s="40" t="s">
        <v>316</v>
      </c>
      <c r="B18" s="41">
        <v>13716</v>
      </c>
      <c r="C18" s="41">
        <v>13813</v>
      </c>
      <c r="D18" s="41">
        <v>13757</v>
      </c>
      <c r="E18" s="41">
        <v>14301</v>
      </c>
      <c r="F18" s="41">
        <v>14943</v>
      </c>
      <c r="G18" s="41">
        <v>15639</v>
      </c>
      <c r="H18" s="41">
        <v>16460</v>
      </c>
      <c r="I18" s="41">
        <v>17119</v>
      </c>
      <c r="J18" s="41">
        <v>17929</v>
      </c>
      <c r="K18" s="41">
        <v>19315</v>
      </c>
      <c r="L18" s="41">
        <v>20287</v>
      </c>
      <c r="M18" s="42">
        <v>23118</v>
      </c>
      <c r="N18" s="42">
        <v>22006</v>
      </c>
      <c r="O18" s="42">
        <v>20721</v>
      </c>
      <c r="P18" s="42">
        <v>19091</v>
      </c>
      <c r="Q18" s="42">
        <v>17220</v>
      </c>
      <c r="R18" s="42">
        <v>14945</v>
      </c>
      <c r="S18" s="42">
        <v>14487</v>
      </c>
      <c r="T18" s="42">
        <v>13748</v>
      </c>
      <c r="U18" s="42">
        <v>13052</v>
      </c>
      <c r="V18" s="42">
        <v>12015</v>
      </c>
      <c r="W18" s="42">
        <v>11336</v>
      </c>
      <c r="X18" s="42">
        <v>11389</v>
      </c>
      <c r="Y18" s="43">
        <v>12311</v>
      </c>
      <c r="Z18" s="43">
        <v>14261</v>
      </c>
      <c r="AA18" s="43">
        <v>15849</v>
      </c>
      <c r="AB18" s="43">
        <v>16631</v>
      </c>
      <c r="AC18" s="43">
        <v>16898</v>
      </c>
      <c r="AD18" s="41">
        <v>17475</v>
      </c>
      <c r="AE18" s="41">
        <v>18378</v>
      </c>
      <c r="AF18" s="27">
        <v>19687</v>
      </c>
      <c r="AG18" s="27">
        <v>20889</v>
      </c>
      <c r="AH18" s="302">
        <v>22054</v>
      </c>
      <c r="AI18" s="34">
        <v>23082</v>
      </c>
      <c r="AJ18" s="311">
        <v>24864</v>
      </c>
      <c r="AK18" s="372">
        <v>25056</v>
      </c>
      <c r="AL18" s="372">
        <v>24969</v>
      </c>
      <c r="AM18" s="373">
        <v>24886</v>
      </c>
      <c r="AN18" s="373">
        <v>25177</v>
      </c>
      <c r="AO18" s="373">
        <v>25477</v>
      </c>
      <c r="AP18" s="373">
        <v>25699</v>
      </c>
    </row>
    <row r="19" spans="1:54">
      <c r="A19" s="40" t="s">
        <v>317</v>
      </c>
      <c r="B19" s="41">
        <v>8468</v>
      </c>
      <c r="C19" s="41">
        <v>8773</v>
      </c>
      <c r="D19" s="41">
        <v>9098</v>
      </c>
      <c r="E19" s="41">
        <v>9135</v>
      </c>
      <c r="F19" s="41">
        <v>9156</v>
      </c>
      <c r="G19" s="41">
        <v>9314</v>
      </c>
      <c r="H19" s="41">
        <v>9249</v>
      </c>
      <c r="I19" s="41">
        <v>9231</v>
      </c>
      <c r="J19" s="41">
        <v>9480</v>
      </c>
      <c r="K19" s="41">
        <v>9830</v>
      </c>
      <c r="L19" s="41">
        <v>10278</v>
      </c>
      <c r="M19" s="42">
        <v>10869</v>
      </c>
      <c r="N19" s="42">
        <v>11281</v>
      </c>
      <c r="O19" s="42">
        <v>11544</v>
      </c>
      <c r="P19" s="42">
        <v>12329</v>
      </c>
      <c r="Q19" s="42">
        <v>13670</v>
      </c>
      <c r="R19" s="42">
        <v>14509</v>
      </c>
      <c r="S19" s="42">
        <v>13740</v>
      </c>
      <c r="T19" s="42">
        <v>13038</v>
      </c>
      <c r="U19" s="42">
        <v>12360</v>
      </c>
      <c r="V19" s="42">
        <v>12005</v>
      </c>
      <c r="W19" s="42">
        <v>11555</v>
      </c>
      <c r="X19" s="42">
        <v>11122</v>
      </c>
      <c r="Y19" s="43">
        <v>10093</v>
      </c>
      <c r="Z19" s="43">
        <v>10047</v>
      </c>
      <c r="AA19" s="43">
        <v>9567</v>
      </c>
      <c r="AB19" s="43">
        <v>8790</v>
      </c>
      <c r="AC19" s="43">
        <v>8280</v>
      </c>
      <c r="AD19" s="41">
        <v>8544</v>
      </c>
      <c r="AE19" s="41">
        <v>8908</v>
      </c>
      <c r="AF19" s="27">
        <v>9283</v>
      </c>
      <c r="AG19" s="27">
        <v>9651</v>
      </c>
      <c r="AH19" s="302">
        <v>9977</v>
      </c>
      <c r="AI19" s="34">
        <v>10398</v>
      </c>
      <c r="AJ19" s="311">
        <v>12343</v>
      </c>
      <c r="AK19" s="372">
        <v>13409</v>
      </c>
      <c r="AL19" s="372">
        <v>14352</v>
      </c>
      <c r="AM19" s="373">
        <v>15261</v>
      </c>
      <c r="AN19" s="373">
        <v>16019</v>
      </c>
      <c r="AO19" s="373">
        <v>16607</v>
      </c>
      <c r="AP19" s="373">
        <v>17175</v>
      </c>
    </row>
    <row r="20" spans="1:54" ht="15.75">
      <c r="A20" s="40" t="s">
        <v>318</v>
      </c>
      <c r="B20" s="44">
        <v>1593664</v>
      </c>
      <c r="C20" s="44">
        <v>1599244</v>
      </c>
      <c r="D20" s="44">
        <v>1606260</v>
      </c>
      <c r="E20" s="44">
        <v>1615349</v>
      </c>
      <c r="F20" s="44">
        <v>1626839</v>
      </c>
      <c r="G20" s="44">
        <v>1640238</v>
      </c>
      <c r="H20" s="44">
        <v>1654623</v>
      </c>
      <c r="I20" s="44">
        <v>1670024</v>
      </c>
      <c r="J20" s="44">
        <v>1687508</v>
      </c>
      <c r="K20" s="44">
        <v>1707440</v>
      </c>
      <c r="L20" s="44">
        <v>1728219</v>
      </c>
      <c r="M20" s="45">
        <v>1738953</v>
      </c>
      <c r="N20" s="45">
        <v>1747473</v>
      </c>
      <c r="O20" s="45">
        <v>1750976</v>
      </c>
      <c r="P20" s="45">
        <v>1752762</v>
      </c>
      <c r="Q20" s="45">
        <v>1746005</v>
      </c>
      <c r="R20" s="45">
        <v>1733372</v>
      </c>
      <c r="S20" s="45">
        <v>1717208</v>
      </c>
      <c r="T20" s="45">
        <v>1701565</v>
      </c>
      <c r="U20" s="45">
        <v>1685841</v>
      </c>
      <c r="V20" s="45">
        <v>1671654</v>
      </c>
      <c r="W20" s="45">
        <v>1657561</v>
      </c>
      <c r="X20" s="45">
        <v>1644301</v>
      </c>
      <c r="Y20" s="46">
        <v>1627704</v>
      </c>
      <c r="Z20" s="46">
        <v>1620891</v>
      </c>
      <c r="AA20" s="46">
        <v>1612996</v>
      </c>
      <c r="AB20" s="46">
        <v>1603421</v>
      </c>
      <c r="AC20" s="46">
        <v>1592402</v>
      </c>
      <c r="AD20" s="47">
        <v>1581806.5</v>
      </c>
      <c r="AE20" s="48">
        <v>1571979</v>
      </c>
      <c r="AF20" s="48">
        <v>1563120</v>
      </c>
      <c r="AG20" s="48">
        <v>1553499</v>
      </c>
      <c r="AH20" s="303">
        <v>1527510</v>
      </c>
      <c r="AI20" s="35">
        <v>1496492</v>
      </c>
      <c r="AJ20" s="313">
        <v>1376201</v>
      </c>
      <c r="AK20" s="35">
        <v>1362443</v>
      </c>
      <c r="AL20" s="35">
        <v>1351126</v>
      </c>
      <c r="AM20" s="35">
        <v>1337932</v>
      </c>
      <c r="AN20" s="35">
        <v>1320897</v>
      </c>
      <c r="AO20" s="35">
        <v>1304740</v>
      </c>
      <c r="AP20" s="35">
        <v>1296442</v>
      </c>
    </row>
    <row r="21" spans="1:54" ht="15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1"/>
      <c r="O21" s="51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3"/>
      <c r="AE21" s="53"/>
      <c r="AF21" s="53"/>
      <c r="AG21" s="53"/>
      <c r="AK21" s="374"/>
      <c r="AL21" s="374"/>
      <c r="AM21" s="374"/>
      <c r="AN21" s="374"/>
      <c r="AO21" s="374"/>
      <c r="AP21" s="374"/>
    </row>
    <row r="22" spans="1:54" ht="15">
      <c r="A22" s="36"/>
      <c r="B22" s="37" t="s">
        <v>319</v>
      </c>
      <c r="C22" s="37" t="s">
        <v>320</v>
      </c>
      <c r="D22" s="37" t="s">
        <v>321</v>
      </c>
      <c r="E22" s="37" t="s">
        <v>322</v>
      </c>
      <c r="F22" s="37" t="s">
        <v>323</v>
      </c>
      <c r="G22" s="37" t="s">
        <v>324</v>
      </c>
      <c r="H22" s="37" t="s">
        <v>325</v>
      </c>
      <c r="I22" s="37" t="s">
        <v>326</v>
      </c>
      <c r="J22" s="37" t="s">
        <v>327</v>
      </c>
      <c r="K22" s="37" t="s">
        <v>328</v>
      </c>
      <c r="L22" s="37" t="s">
        <v>329</v>
      </c>
      <c r="M22" s="38" t="s">
        <v>330</v>
      </c>
      <c r="N22" s="38" t="s">
        <v>331</v>
      </c>
      <c r="O22" s="38" t="s">
        <v>332</v>
      </c>
      <c r="P22" s="38" t="s">
        <v>333</v>
      </c>
      <c r="Q22" s="39" t="s">
        <v>334</v>
      </c>
      <c r="R22" s="38" t="s">
        <v>335</v>
      </c>
      <c r="S22" s="38" t="s">
        <v>336</v>
      </c>
      <c r="T22" s="38" t="s">
        <v>337</v>
      </c>
      <c r="U22" s="38" t="s">
        <v>338</v>
      </c>
      <c r="V22" s="38" t="s">
        <v>339</v>
      </c>
      <c r="W22" s="38" t="s">
        <v>340</v>
      </c>
      <c r="X22" s="38" t="s">
        <v>341</v>
      </c>
      <c r="Y22" s="38" t="s">
        <v>342</v>
      </c>
      <c r="Z22" s="38" t="s">
        <v>343</v>
      </c>
      <c r="AA22" s="38" t="s">
        <v>344</v>
      </c>
      <c r="AB22" s="38" t="s">
        <v>345</v>
      </c>
      <c r="AC22" s="38" t="s">
        <v>346</v>
      </c>
      <c r="AD22" s="38" t="s">
        <v>347</v>
      </c>
      <c r="AE22" s="38" t="s">
        <v>348</v>
      </c>
      <c r="AF22" s="36" t="s">
        <v>349</v>
      </c>
      <c r="AG22" s="36" t="s">
        <v>350</v>
      </c>
      <c r="AH22" s="36" t="s">
        <v>381</v>
      </c>
      <c r="AI22" s="36" t="s">
        <v>382</v>
      </c>
      <c r="AJ22" s="36" t="s">
        <v>383</v>
      </c>
      <c r="AK22" s="371" t="s">
        <v>384</v>
      </c>
      <c r="AL22" s="371" t="s">
        <v>385</v>
      </c>
      <c r="AM22" s="371" t="s">
        <v>386</v>
      </c>
      <c r="AN22" s="371" t="s">
        <v>387</v>
      </c>
      <c r="AO22" s="371" t="s">
        <v>388</v>
      </c>
      <c r="AP22" s="371" t="s">
        <v>389</v>
      </c>
      <c r="AQ22" s="36" t="s">
        <v>390</v>
      </c>
      <c r="AR22" s="36" t="s">
        <v>391</v>
      </c>
      <c r="AS22" s="36" t="s">
        <v>392</v>
      </c>
      <c r="AT22" s="36" t="s">
        <v>393</v>
      </c>
      <c r="AU22" s="36" t="s">
        <v>394</v>
      </c>
      <c r="AV22" s="36" t="s">
        <v>395</v>
      </c>
      <c r="AW22" s="36" t="s">
        <v>396</v>
      </c>
      <c r="AX22" s="36" t="s">
        <v>397</v>
      </c>
      <c r="AY22" s="36" t="s">
        <v>398</v>
      </c>
      <c r="AZ22" s="36" t="s">
        <v>399</v>
      </c>
      <c r="BA22" s="36" t="s">
        <v>400</v>
      </c>
      <c r="BB22" s="36" t="s">
        <v>401</v>
      </c>
    </row>
    <row r="23" spans="1:54">
      <c r="A23" s="40" t="s">
        <v>301</v>
      </c>
      <c r="B23" s="41">
        <v>128076</v>
      </c>
      <c r="C23" s="41">
        <v>127963</v>
      </c>
      <c r="D23" s="41">
        <v>127822</v>
      </c>
      <c r="E23" s="41">
        <v>128296</v>
      </c>
      <c r="F23" s="41">
        <v>128539</v>
      </c>
      <c r="G23" s="41">
        <v>130664</v>
      </c>
      <c r="H23" s="41">
        <v>133306</v>
      </c>
      <c r="I23" s="41">
        <v>136077</v>
      </c>
      <c r="J23" s="41">
        <v>139705</v>
      </c>
      <c r="K23" s="41">
        <v>142979</v>
      </c>
      <c r="L23" s="41">
        <v>144409</v>
      </c>
      <c r="M23" s="42">
        <v>144758</v>
      </c>
      <c r="N23" s="42">
        <v>142925</v>
      </c>
      <c r="O23" s="42">
        <v>140651</v>
      </c>
      <c r="P23" s="42">
        <v>137679</v>
      </c>
      <c r="Q23" s="42">
        <v>134065</v>
      </c>
      <c r="R23" s="42">
        <v>128437</v>
      </c>
      <c r="S23" s="42">
        <v>121857</v>
      </c>
      <c r="T23" s="42">
        <v>114334</v>
      </c>
      <c r="U23" s="42">
        <v>106725</v>
      </c>
      <c r="V23" s="42">
        <v>99025</v>
      </c>
      <c r="W23" s="42">
        <v>94192</v>
      </c>
      <c r="X23" s="42">
        <v>91355</v>
      </c>
      <c r="Y23" s="43">
        <v>85744</v>
      </c>
      <c r="Z23" s="43">
        <v>82669</v>
      </c>
      <c r="AA23" s="43">
        <v>79472</v>
      </c>
      <c r="AB23" s="43">
        <v>76607</v>
      </c>
      <c r="AC23" s="43">
        <v>74517</v>
      </c>
      <c r="AD23" s="41">
        <v>73854</v>
      </c>
      <c r="AE23" s="41">
        <v>74472</v>
      </c>
      <c r="AF23" s="27">
        <v>76197</v>
      </c>
      <c r="AG23" s="27">
        <v>78767</v>
      </c>
      <c r="AH23" s="304">
        <v>80949</v>
      </c>
      <c r="AI23" s="34">
        <v>82206</v>
      </c>
      <c r="AJ23" s="311">
        <v>73013</v>
      </c>
      <c r="AK23" s="372">
        <v>73612</v>
      </c>
      <c r="AL23" s="372">
        <v>73541</v>
      </c>
      <c r="AM23" s="34">
        <v>73573</v>
      </c>
      <c r="AN23" s="34">
        <v>73574</v>
      </c>
      <c r="AO23" s="34">
        <v>72886</v>
      </c>
      <c r="AP23" s="34">
        <v>72091</v>
      </c>
    </row>
    <row r="24" spans="1:54">
      <c r="A24" s="40" t="s">
        <v>302</v>
      </c>
      <c r="B24" s="41">
        <v>134874</v>
      </c>
      <c r="C24" s="41">
        <v>134959</v>
      </c>
      <c r="D24" s="41">
        <v>133859</v>
      </c>
      <c r="E24" s="41">
        <v>132882</v>
      </c>
      <c r="F24" s="41">
        <v>130336</v>
      </c>
      <c r="G24" s="41">
        <v>129494</v>
      </c>
      <c r="H24" s="41">
        <v>129232</v>
      </c>
      <c r="I24" s="41">
        <v>129512</v>
      </c>
      <c r="J24" s="41">
        <v>129904</v>
      </c>
      <c r="K24" s="41">
        <v>130663</v>
      </c>
      <c r="L24" s="41">
        <v>132812</v>
      </c>
      <c r="M24" s="42">
        <v>134392</v>
      </c>
      <c r="N24" s="42">
        <v>136778</v>
      </c>
      <c r="O24" s="42">
        <v>139232</v>
      </c>
      <c r="P24" s="42">
        <v>141792</v>
      </c>
      <c r="Q24" s="42">
        <v>142550</v>
      </c>
      <c r="R24" s="42">
        <v>140485</v>
      </c>
      <c r="S24" s="42">
        <v>137791</v>
      </c>
      <c r="T24" s="42">
        <v>135273</v>
      </c>
      <c r="U24" s="42">
        <v>132548</v>
      </c>
      <c r="V24" s="42">
        <v>130005</v>
      </c>
      <c r="W24" s="42">
        <v>125666</v>
      </c>
      <c r="X24" s="42">
        <v>119957</v>
      </c>
      <c r="Y24" s="43">
        <v>110014</v>
      </c>
      <c r="Z24" s="43">
        <v>102013</v>
      </c>
      <c r="AA24" s="43">
        <v>95821</v>
      </c>
      <c r="AB24" s="43">
        <v>91855</v>
      </c>
      <c r="AC24" s="43">
        <v>88516</v>
      </c>
      <c r="AD24" s="41">
        <v>84934</v>
      </c>
      <c r="AE24" s="41">
        <v>81348</v>
      </c>
      <c r="AF24" s="27">
        <v>78141</v>
      </c>
      <c r="AG24" s="27">
        <v>75407</v>
      </c>
      <c r="AH24" s="304">
        <v>72853</v>
      </c>
      <c r="AI24" s="34">
        <v>71239</v>
      </c>
      <c r="AJ24" s="311">
        <v>65809</v>
      </c>
      <c r="AK24" s="372">
        <v>65974</v>
      </c>
      <c r="AL24" s="372">
        <v>66902</v>
      </c>
      <c r="AM24" s="34">
        <v>68112</v>
      </c>
      <c r="AN24" s="34">
        <v>68934</v>
      </c>
      <c r="AO24" s="34">
        <v>69710</v>
      </c>
      <c r="AP24" s="34">
        <v>70403</v>
      </c>
    </row>
    <row r="25" spans="1:54">
      <c r="A25" s="40" t="s">
        <v>303</v>
      </c>
      <c r="B25" s="41">
        <v>134652</v>
      </c>
      <c r="C25" s="41">
        <v>135422</v>
      </c>
      <c r="D25" s="41">
        <v>133849</v>
      </c>
      <c r="E25" s="41">
        <v>135250</v>
      </c>
      <c r="F25" s="41">
        <v>136380</v>
      </c>
      <c r="G25" s="41">
        <v>136171</v>
      </c>
      <c r="H25" s="41">
        <v>135407</v>
      </c>
      <c r="I25" s="41">
        <v>134465</v>
      </c>
      <c r="J25" s="41">
        <v>132698</v>
      </c>
      <c r="K25" s="41">
        <v>130981</v>
      </c>
      <c r="L25" s="41">
        <v>130106</v>
      </c>
      <c r="M25" s="42">
        <v>130046</v>
      </c>
      <c r="N25" s="42">
        <v>129962</v>
      </c>
      <c r="O25" s="42">
        <v>129603</v>
      </c>
      <c r="P25" s="42">
        <v>129009</v>
      </c>
      <c r="Q25" s="42">
        <v>128812</v>
      </c>
      <c r="R25" s="42">
        <v>130127</v>
      </c>
      <c r="S25" s="42">
        <v>131322</v>
      </c>
      <c r="T25" s="42">
        <v>133543</v>
      </c>
      <c r="U25" s="42">
        <v>136236</v>
      </c>
      <c r="V25" s="42">
        <v>137955</v>
      </c>
      <c r="W25" s="42">
        <v>137244</v>
      </c>
      <c r="X25" s="42">
        <v>135591</v>
      </c>
      <c r="Y25" s="43">
        <v>132550</v>
      </c>
      <c r="Z25" s="43">
        <v>130433</v>
      </c>
      <c r="AA25" s="43">
        <v>127128</v>
      </c>
      <c r="AB25" s="43">
        <v>122286</v>
      </c>
      <c r="AC25" s="43">
        <v>116024</v>
      </c>
      <c r="AD25" s="41">
        <v>108881</v>
      </c>
      <c r="AE25" s="41">
        <v>101277</v>
      </c>
      <c r="AF25" s="27">
        <v>94578</v>
      </c>
      <c r="AG25" s="27">
        <v>90441</v>
      </c>
      <c r="AH25" s="304">
        <v>86689</v>
      </c>
      <c r="AI25" s="34">
        <v>82416</v>
      </c>
      <c r="AJ25" s="311">
        <v>75452</v>
      </c>
      <c r="AK25" s="372">
        <v>71497</v>
      </c>
      <c r="AL25" s="372">
        <v>68149</v>
      </c>
      <c r="AM25" s="34">
        <v>65394</v>
      </c>
      <c r="AN25" s="34">
        <v>63642</v>
      </c>
      <c r="AO25" s="34">
        <v>62908</v>
      </c>
      <c r="AP25" s="34">
        <v>63053</v>
      </c>
    </row>
    <row r="26" spans="1:54">
      <c r="A26" s="40" t="s">
        <v>304</v>
      </c>
      <c r="B26" s="41">
        <v>144496</v>
      </c>
      <c r="C26" s="41">
        <v>145230</v>
      </c>
      <c r="D26" s="41">
        <v>140450</v>
      </c>
      <c r="E26" s="41">
        <v>137501</v>
      </c>
      <c r="F26" s="41">
        <v>136204</v>
      </c>
      <c r="G26" s="41">
        <v>134800</v>
      </c>
      <c r="H26" s="41">
        <v>134763</v>
      </c>
      <c r="I26" s="41">
        <v>133850</v>
      </c>
      <c r="J26" s="41">
        <v>134067</v>
      </c>
      <c r="K26" s="41">
        <v>134674</v>
      </c>
      <c r="L26" s="41">
        <v>135292</v>
      </c>
      <c r="M26" s="42">
        <v>135429</v>
      </c>
      <c r="N26" s="42">
        <v>135873</v>
      </c>
      <c r="O26" s="42">
        <v>134250</v>
      </c>
      <c r="P26" s="42">
        <v>131857</v>
      </c>
      <c r="Q26" s="42">
        <v>128881</v>
      </c>
      <c r="R26" s="42">
        <v>127266</v>
      </c>
      <c r="S26" s="42">
        <v>125676</v>
      </c>
      <c r="T26" s="42">
        <v>124458</v>
      </c>
      <c r="U26" s="42">
        <v>123296</v>
      </c>
      <c r="V26" s="42">
        <v>123487</v>
      </c>
      <c r="W26" s="42">
        <v>125403</v>
      </c>
      <c r="X26" s="42">
        <v>127646</v>
      </c>
      <c r="Y26" s="43">
        <v>131282</v>
      </c>
      <c r="Z26" s="43">
        <v>135733</v>
      </c>
      <c r="AA26" s="43">
        <v>136600</v>
      </c>
      <c r="AB26" s="43">
        <v>135213</v>
      </c>
      <c r="AC26" s="43">
        <v>133373</v>
      </c>
      <c r="AD26" s="41">
        <v>131400</v>
      </c>
      <c r="AE26" s="41">
        <v>129194</v>
      </c>
      <c r="AF26" s="27">
        <v>126187</v>
      </c>
      <c r="AG26" s="27">
        <v>121083</v>
      </c>
      <c r="AH26" s="304">
        <v>113451</v>
      </c>
      <c r="AI26" s="34">
        <v>105145</v>
      </c>
      <c r="AJ26" s="311">
        <v>95059</v>
      </c>
      <c r="AK26" s="372">
        <v>88846</v>
      </c>
      <c r="AL26" s="372">
        <v>84512</v>
      </c>
      <c r="AM26" s="34">
        <v>80822</v>
      </c>
      <c r="AN26" s="34">
        <v>76561</v>
      </c>
      <c r="AO26" s="34">
        <v>71998</v>
      </c>
      <c r="AP26" s="34">
        <v>68089</v>
      </c>
    </row>
    <row r="27" spans="1:54">
      <c r="A27" s="40" t="s">
        <v>305</v>
      </c>
      <c r="B27" s="41">
        <v>129102</v>
      </c>
      <c r="C27" s="41">
        <v>133697</v>
      </c>
      <c r="D27" s="41">
        <v>139893</v>
      </c>
      <c r="E27" s="41">
        <v>145226</v>
      </c>
      <c r="F27" s="41">
        <v>150667</v>
      </c>
      <c r="G27" s="41">
        <v>151699</v>
      </c>
      <c r="H27" s="41">
        <v>148745</v>
      </c>
      <c r="I27" s="41">
        <v>145625</v>
      </c>
      <c r="J27" s="41">
        <v>141742</v>
      </c>
      <c r="K27" s="41">
        <v>138394</v>
      </c>
      <c r="L27" s="41">
        <v>136504</v>
      </c>
      <c r="M27" s="42">
        <v>136064</v>
      </c>
      <c r="N27" s="42">
        <v>134591</v>
      </c>
      <c r="O27" s="42">
        <v>135298</v>
      </c>
      <c r="P27" s="42">
        <v>136098</v>
      </c>
      <c r="Q27" s="42">
        <v>136000</v>
      </c>
      <c r="R27" s="42">
        <v>134860</v>
      </c>
      <c r="S27" s="42">
        <v>133280</v>
      </c>
      <c r="T27" s="42">
        <v>129831</v>
      </c>
      <c r="U27" s="42">
        <v>125850</v>
      </c>
      <c r="V27" s="42">
        <v>121858</v>
      </c>
      <c r="W27" s="42">
        <v>119098</v>
      </c>
      <c r="X27" s="42">
        <v>117264</v>
      </c>
      <c r="Y27" s="43">
        <v>115938</v>
      </c>
      <c r="Z27" s="43">
        <v>118034</v>
      </c>
      <c r="AA27" s="43">
        <v>120594</v>
      </c>
      <c r="AB27" s="43">
        <v>122916</v>
      </c>
      <c r="AC27" s="43">
        <v>125498</v>
      </c>
      <c r="AD27" s="41">
        <v>129291</v>
      </c>
      <c r="AE27" s="41">
        <v>132678</v>
      </c>
      <c r="AF27" s="27">
        <v>133889</v>
      </c>
      <c r="AG27" s="27">
        <v>132602</v>
      </c>
      <c r="AH27" s="304">
        <v>127309</v>
      </c>
      <c r="AI27" s="34">
        <v>120503</v>
      </c>
      <c r="AJ27" s="311">
        <v>104570</v>
      </c>
      <c r="AK27" s="372">
        <v>103926</v>
      </c>
      <c r="AL27" s="372">
        <v>101894</v>
      </c>
      <c r="AM27" s="34">
        <v>98060</v>
      </c>
      <c r="AN27" s="34">
        <v>92356</v>
      </c>
      <c r="AO27" s="34">
        <v>84808</v>
      </c>
      <c r="AP27" s="34">
        <v>78417</v>
      </c>
    </row>
    <row r="28" spans="1:54">
      <c r="A28" s="40" t="s">
        <v>306</v>
      </c>
      <c r="B28" s="41">
        <v>122193</v>
      </c>
      <c r="C28" s="41">
        <v>123679</v>
      </c>
      <c r="D28" s="41">
        <v>123458</v>
      </c>
      <c r="E28" s="41">
        <v>125514</v>
      </c>
      <c r="F28" s="41">
        <v>128635</v>
      </c>
      <c r="G28" s="41">
        <v>134211</v>
      </c>
      <c r="H28" s="41">
        <v>140536</v>
      </c>
      <c r="I28" s="41">
        <v>145959</v>
      </c>
      <c r="J28" s="41">
        <v>151264</v>
      </c>
      <c r="K28" s="41">
        <v>154970</v>
      </c>
      <c r="L28" s="41">
        <v>155475</v>
      </c>
      <c r="M28" s="42">
        <v>154641</v>
      </c>
      <c r="N28" s="42">
        <v>151928</v>
      </c>
      <c r="O28" s="42">
        <v>146627</v>
      </c>
      <c r="P28" s="42">
        <v>141673</v>
      </c>
      <c r="Q28" s="42">
        <v>137393</v>
      </c>
      <c r="R28" s="42">
        <v>134382</v>
      </c>
      <c r="S28" s="42">
        <v>131900</v>
      </c>
      <c r="T28" s="42">
        <v>131920</v>
      </c>
      <c r="U28" s="42">
        <v>131783</v>
      </c>
      <c r="V28" s="42">
        <v>130867</v>
      </c>
      <c r="W28" s="42">
        <v>128235</v>
      </c>
      <c r="X28" s="42">
        <v>125278</v>
      </c>
      <c r="Y28" s="43">
        <v>119825</v>
      </c>
      <c r="Z28" s="43">
        <v>116227</v>
      </c>
      <c r="AA28" s="43">
        <v>114110</v>
      </c>
      <c r="AB28" s="43">
        <v>112660</v>
      </c>
      <c r="AC28" s="43">
        <v>111635</v>
      </c>
      <c r="AD28" s="41">
        <v>111210</v>
      </c>
      <c r="AE28" s="41">
        <v>111873</v>
      </c>
      <c r="AF28" s="27">
        <v>113869</v>
      </c>
      <c r="AG28" s="27">
        <v>116722</v>
      </c>
      <c r="AH28" s="304">
        <v>115975</v>
      </c>
      <c r="AI28" s="34">
        <v>113846</v>
      </c>
      <c r="AJ28" s="311">
        <v>94921</v>
      </c>
      <c r="AK28" s="372">
        <v>95057</v>
      </c>
      <c r="AL28" s="372">
        <v>94972</v>
      </c>
      <c r="AM28" s="34">
        <v>95144</v>
      </c>
      <c r="AN28" s="34">
        <v>94383</v>
      </c>
      <c r="AO28" s="34">
        <v>92180</v>
      </c>
      <c r="AP28" s="34">
        <v>90342</v>
      </c>
    </row>
    <row r="29" spans="1:54">
      <c r="A29" s="40" t="s">
        <v>307</v>
      </c>
      <c r="B29" s="41">
        <v>110599</v>
      </c>
      <c r="C29" s="41">
        <v>112989</v>
      </c>
      <c r="D29" s="41">
        <v>116891</v>
      </c>
      <c r="E29" s="41">
        <v>119314</v>
      </c>
      <c r="F29" s="41">
        <v>122326</v>
      </c>
      <c r="G29" s="41">
        <v>123855</v>
      </c>
      <c r="H29" s="41">
        <v>124101</v>
      </c>
      <c r="I29" s="41">
        <v>125111</v>
      </c>
      <c r="J29" s="41">
        <v>127184</v>
      </c>
      <c r="K29" s="41">
        <v>130371</v>
      </c>
      <c r="L29" s="41">
        <v>135884</v>
      </c>
      <c r="M29" s="42">
        <v>139659</v>
      </c>
      <c r="N29" s="42">
        <v>145119</v>
      </c>
      <c r="O29" s="42">
        <v>149956</v>
      </c>
      <c r="P29" s="42">
        <v>153788</v>
      </c>
      <c r="Q29" s="42">
        <v>153660</v>
      </c>
      <c r="R29" s="42">
        <v>150215</v>
      </c>
      <c r="S29" s="42">
        <v>146791</v>
      </c>
      <c r="T29" s="42">
        <v>141499</v>
      </c>
      <c r="U29" s="42">
        <v>136823</v>
      </c>
      <c r="V29" s="42">
        <v>133270</v>
      </c>
      <c r="W29" s="42">
        <v>131071</v>
      </c>
      <c r="X29" s="42">
        <v>128588</v>
      </c>
      <c r="Y29" s="43">
        <v>129264</v>
      </c>
      <c r="Z29" s="43">
        <v>127259</v>
      </c>
      <c r="AA29" s="43">
        <v>125506</v>
      </c>
      <c r="AB29" s="43">
        <v>123344</v>
      </c>
      <c r="AC29" s="43">
        <v>120545</v>
      </c>
      <c r="AD29" s="41">
        <v>116782</v>
      </c>
      <c r="AE29" s="41">
        <v>113354</v>
      </c>
      <c r="AF29" s="27">
        <v>110782</v>
      </c>
      <c r="AG29" s="27">
        <v>108930</v>
      </c>
      <c r="AH29" s="304">
        <v>105113</v>
      </c>
      <c r="AI29" s="34">
        <v>100940</v>
      </c>
      <c r="AJ29" s="311">
        <v>88878</v>
      </c>
      <c r="AK29" s="372">
        <v>87387</v>
      </c>
      <c r="AL29" s="372">
        <v>87211</v>
      </c>
      <c r="AM29" s="34">
        <v>87782</v>
      </c>
      <c r="AN29" s="34">
        <v>88249</v>
      </c>
      <c r="AO29" s="34">
        <v>88539</v>
      </c>
      <c r="AP29" s="34">
        <v>88631</v>
      </c>
    </row>
    <row r="30" spans="1:54">
      <c r="A30" s="40" t="s">
        <v>308</v>
      </c>
      <c r="B30" s="41">
        <v>122956</v>
      </c>
      <c r="C30" s="41">
        <v>123137</v>
      </c>
      <c r="D30" s="41">
        <v>116959</v>
      </c>
      <c r="E30" s="41">
        <v>114201</v>
      </c>
      <c r="F30" s="41">
        <v>110223</v>
      </c>
      <c r="G30" s="41">
        <v>108888</v>
      </c>
      <c r="H30" s="41">
        <v>112406</v>
      </c>
      <c r="I30" s="41">
        <v>116668</v>
      </c>
      <c r="J30" s="41">
        <v>119899</v>
      </c>
      <c r="K30" s="41">
        <v>123746</v>
      </c>
      <c r="L30" s="41">
        <v>125844</v>
      </c>
      <c r="M30" s="42">
        <v>125630</v>
      </c>
      <c r="N30" s="42">
        <v>125159</v>
      </c>
      <c r="O30" s="42">
        <v>125449</v>
      </c>
      <c r="P30" s="42">
        <v>126834</v>
      </c>
      <c r="Q30" s="42">
        <v>129123</v>
      </c>
      <c r="R30" s="42">
        <v>134606</v>
      </c>
      <c r="S30" s="42">
        <v>138820</v>
      </c>
      <c r="T30" s="42">
        <v>143004</v>
      </c>
      <c r="U30" s="42">
        <v>146445</v>
      </c>
      <c r="V30" s="42">
        <v>147174</v>
      </c>
      <c r="W30" s="42">
        <v>144620</v>
      </c>
      <c r="X30" s="42">
        <v>141881</v>
      </c>
      <c r="Y30" s="43">
        <v>136744</v>
      </c>
      <c r="Z30" s="43">
        <v>131845</v>
      </c>
      <c r="AA30" s="43">
        <v>129436</v>
      </c>
      <c r="AB30" s="43">
        <v>127998</v>
      </c>
      <c r="AC30" s="43">
        <v>127206</v>
      </c>
      <c r="AD30" s="41">
        <v>126679</v>
      </c>
      <c r="AE30" s="41">
        <v>125708</v>
      </c>
      <c r="AF30" s="27">
        <v>123448</v>
      </c>
      <c r="AG30" s="27">
        <v>120253</v>
      </c>
      <c r="AH30" s="304">
        <v>115139</v>
      </c>
      <c r="AI30" s="34">
        <v>108931</v>
      </c>
      <c r="AJ30" s="311">
        <v>98840</v>
      </c>
      <c r="AK30" s="372">
        <v>95336</v>
      </c>
      <c r="AL30" s="372">
        <v>92351</v>
      </c>
      <c r="AM30" s="34">
        <v>89193</v>
      </c>
      <c r="AN30" s="34">
        <v>85729</v>
      </c>
      <c r="AO30" s="34">
        <v>82634</v>
      </c>
      <c r="AP30" s="34">
        <v>81260</v>
      </c>
    </row>
    <row r="31" spans="1:54">
      <c r="A31" s="40" t="s">
        <v>309</v>
      </c>
      <c r="B31" s="41">
        <v>124792</v>
      </c>
      <c r="C31" s="41">
        <v>126303</v>
      </c>
      <c r="D31" s="41">
        <v>124222</v>
      </c>
      <c r="E31" s="41">
        <v>122711</v>
      </c>
      <c r="F31" s="41">
        <v>122112</v>
      </c>
      <c r="G31" s="41">
        <v>121100</v>
      </c>
      <c r="H31" s="41">
        <v>117931</v>
      </c>
      <c r="I31" s="41">
        <v>115761</v>
      </c>
      <c r="J31" s="41">
        <v>113886</v>
      </c>
      <c r="K31" s="41">
        <v>110394</v>
      </c>
      <c r="L31" s="41">
        <v>109072</v>
      </c>
      <c r="M31" s="42">
        <v>109822</v>
      </c>
      <c r="N31" s="42">
        <v>115628</v>
      </c>
      <c r="O31" s="42">
        <v>117023</v>
      </c>
      <c r="P31" s="42">
        <v>119863</v>
      </c>
      <c r="Q31" s="42">
        <v>121753</v>
      </c>
      <c r="R31" s="42">
        <v>120627</v>
      </c>
      <c r="S31" s="42">
        <v>119249</v>
      </c>
      <c r="T31" s="42">
        <v>119129</v>
      </c>
      <c r="U31" s="42">
        <v>120138</v>
      </c>
      <c r="V31" s="42">
        <v>122530</v>
      </c>
      <c r="W31" s="42">
        <v>127997</v>
      </c>
      <c r="X31" s="42">
        <v>132165</v>
      </c>
      <c r="Y31" s="43">
        <v>139694</v>
      </c>
      <c r="Z31" s="43">
        <v>141821</v>
      </c>
      <c r="AA31" s="43">
        <v>141961</v>
      </c>
      <c r="AB31" s="43">
        <v>140634</v>
      </c>
      <c r="AC31" s="43">
        <v>138180</v>
      </c>
      <c r="AD31" s="41">
        <v>134094</v>
      </c>
      <c r="AE31" s="41">
        <v>130362</v>
      </c>
      <c r="AF31" s="27">
        <v>127721</v>
      </c>
      <c r="AG31" s="27">
        <v>125667</v>
      </c>
      <c r="AH31" s="304">
        <v>123204</v>
      </c>
      <c r="AI31" s="34">
        <v>120965</v>
      </c>
      <c r="AJ31" s="311">
        <v>110970</v>
      </c>
      <c r="AK31" s="372">
        <v>108432</v>
      </c>
      <c r="AL31" s="372">
        <v>105582</v>
      </c>
      <c r="AM31" s="34">
        <v>102361</v>
      </c>
      <c r="AN31" s="34">
        <v>98134</v>
      </c>
      <c r="AO31" s="34">
        <v>93781</v>
      </c>
      <c r="AP31" s="34">
        <v>90377</v>
      </c>
    </row>
    <row r="32" spans="1:54">
      <c r="A32" s="40" t="s">
        <v>310</v>
      </c>
      <c r="B32" s="41">
        <v>123769</v>
      </c>
      <c r="C32" s="41">
        <v>123774</v>
      </c>
      <c r="D32" s="41">
        <v>121719</v>
      </c>
      <c r="E32" s="41">
        <v>122132</v>
      </c>
      <c r="F32" s="41">
        <v>122471</v>
      </c>
      <c r="G32" s="41">
        <v>121908</v>
      </c>
      <c r="H32" s="41">
        <v>122026</v>
      </c>
      <c r="I32" s="41">
        <v>121781</v>
      </c>
      <c r="J32" s="41">
        <v>120967</v>
      </c>
      <c r="K32" s="41">
        <v>121079</v>
      </c>
      <c r="L32" s="41">
        <v>120745</v>
      </c>
      <c r="M32" s="42">
        <v>119810</v>
      </c>
      <c r="N32" s="42">
        <v>115501</v>
      </c>
      <c r="O32" s="42">
        <v>115138</v>
      </c>
      <c r="P32" s="42">
        <v>110496</v>
      </c>
      <c r="Q32" s="42">
        <v>106010</v>
      </c>
      <c r="R32" s="42">
        <v>106030</v>
      </c>
      <c r="S32" s="42">
        <v>110471</v>
      </c>
      <c r="T32" s="42">
        <v>110925</v>
      </c>
      <c r="U32" s="42">
        <v>113109</v>
      </c>
      <c r="V32" s="42">
        <v>115351</v>
      </c>
      <c r="W32" s="42">
        <v>114460</v>
      </c>
      <c r="X32" s="42">
        <v>113650</v>
      </c>
      <c r="Y32" s="43">
        <v>115607</v>
      </c>
      <c r="Z32" s="43">
        <v>116826</v>
      </c>
      <c r="AA32" s="43">
        <v>121124</v>
      </c>
      <c r="AB32" s="43">
        <v>127029</v>
      </c>
      <c r="AC32" s="43">
        <v>132088</v>
      </c>
      <c r="AD32" s="41">
        <v>136235</v>
      </c>
      <c r="AE32" s="41">
        <v>139294</v>
      </c>
      <c r="AF32" s="27">
        <v>139758</v>
      </c>
      <c r="AG32" s="27">
        <v>137800</v>
      </c>
      <c r="AH32" s="304">
        <v>133388</v>
      </c>
      <c r="AI32" s="34">
        <v>127914</v>
      </c>
      <c r="AJ32" s="311">
        <v>114964</v>
      </c>
      <c r="AK32" s="372">
        <v>112259</v>
      </c>
      <c r="AL32" s="372">
        <v>110249</v>
      </c>
      <c r="AM32" s="34">
        <v>108831</v>
      </c>
      <c r="AN32" s="34">
        <v>107613</v>
      </c>
      <c r="AO32" s="34">
        <v>105727</v>
      </c>
      <c r="AP32" s="34">
        <v>103228</v>
      </c>
    </row>
    <row r="33" spans="1:42">
      <c r="A33" s="40" t="s">
        <v>311</v>
      </c>
      <c r="B33" s="41">
        <v>116664</v>
      </c>
      <c r="C33" s="41">
        <v>119382</v>
      </c>
      <c r="D33" s="41">
        <v>119722</v>
      </c>
      <c r="E33" s="41">
        <v>119950</v>
      </c>
      <c r="F33" s="41">
        <v>120287</v>
      </c>
      <c r="G33" s="41">
        <v>120583</v>
      </c>
      <c r="H33" s="41">
        <v>119784</v>
      </c>
      <c r="I33" s="41">
        <v>119032</v>
      </c>
      <c r="J33" s="41">
        <v>119586</v>
      </c>
      <c r="K33" s="41">
        <v>119836</v>
      </c>
      <c r="L33" s="41">
        <v>119529</v>
      </c>
      <c r="M33" s="42">
        <v>119756</v>
      </c>
      <c r="N33" s="42">
        <v>120168</v>
      </c>
      <c r="O33" s="42">
        <v>118697</v>
      </c>
      <c r="P33" s="42">
        <v>118220</v>
      </c>
      <c r="Q33" s="42">
        <v>118190</v>
      </c>
      <c r="R33" s="42">
        <v>115824</v>
      </c>
      <c r="S33" s="42">
        <v>111040</v>
      </c>
      <c r="T33" s="42">
        <v>110252</v>
      </c>
      <c r="U33" s="42">
        <v>105259</v>
      </c>
      <c r="V33" s="42">
        <v>100401</v>
      </c>
      <c r="W33" s="42">
        <v>99908</v>
      </c>
      <c r="X33" s="42">
        <v>104124</v>
      </c>
      <c r="Y33" s="43">
        <v>106869</v>
      </c>
      <c r="Z33" s="43">
        <v>109576</v>
      </c>
      <c r="AA33" s="43">
        <v>110905</v>
      </c>
      <c r="AB33" s="43">
        <v>110820</v>
      </c>
      <c r="AC33" s="43">
        <v>111332</v>
      </c>
      <c r="AD33" s="41">
        <v>112458</v>
      </c>
      <c r="AE33" s="41">
        <v>114415</v>
      </c>
      <c r="AF33" s="27">
        <v>118199</v>
      </c>
      <c r="AG33" s="27">
        <v>123643</v>
      </c>
      <c r="AH33" s="304">
        <v>127714</v>
      </c>
      <c r="AI33" s="34">
        <v>130511</v>
      </c>
      <c r="AJ33" s="311">
        <v>127045</v>
      </c>
      <c r="AK33" s="372">
        <v>126113</v>
      </c>
      <c r="AL33" s="372">
        <v>123313</v>
      </c>
      <c r="AM33" s="34">
        <v>119456</v>
      </c>
      <c r="AN33" s="34">
        <v>114773</v>
      </c>
      <c r="AO33" s="34">
        <v>110686</v>
      </c>
      <c r="AP33" s="34">
        <v>107987</v>
      </c>
    </row>
    <row r="34" spans="1:42">
      <c r="A34" s="40" t="s">
        <v>312</v>
      </c>
      <c r="B34" s="41">
        <v>89856</v>
      </c>
      <c r="C34" s="41">
        <v>94843</v>
      </c>
      <c r="D34" s="41">
        <v>102997</v>
      </c>
      <c r="E34" s="41">
        <v>107408</v>
      </c>
      <c r="F34" s="41">
        <v>110458</v>
      </c>
      <c r="G34" s="41">
        <v>112795</v>
      </c>
      <c r="H34" s="41">
        <v>115020</v>
      </c>
      <c r="I34" s="41">
        <v>116536</v>
      </c>
      <c r="J34" s="41">
        <v>117434</v>
      </c>
      <c r="K34" s="41">
        <v>118272</v>
      </c>
      <c r="L34" s="41">
        <v>118747</v>
      </c>
      <c r="M34" s="42">
        <v>118238</v>
      </c>
      <c r="N34" s="42">
        <v>117381</v>
      </c>
      <c r="O34" s="42">
        <v>116334</v>
      </c>
      <c r="P34" s="42">
        <v>116844</v>
      </c>
      <c r="Q34" s="42">
        <v>115414</v>
      </c>
      <c r="R34" s="42">
        <v>115053</v>
      </c>
      <c r="S34" s="42">
        <v>114808</v>
      </c>
      <c r="T34" s="42">
        <v>112755</v>
      </c>
      <c r="U34" s="42">
        <v>112085</v>
      </c>
      <c r="V34" s="42">
        <v>112208</v>
      </c>
      <c r="W34" s="42">
        <v>110065</v>
      </c>
      <c r="X34" s="42">
        <v>105597</v>
      </c>
      <c r="Y34" s="43">
        <v>102642</v>
      </c>
      <c r="Z34" s="43">
        <v>97816</v>
      </c>
      <c r="AA34" s="43">
        <v>95621</v>
      </c>
      <c r="AB34" s="43">
        <v>97772</v>
      </c>
      <c r="AC34" s="43">
        <v>100690</v>
      </c>
      <c r="AD34" s="41">
        <v>103170</v>
      </c>
      <c r="AE34" s="41">
        <v>106232</v>
      </c>
      <c r="AF34" s="27">
        <v>107618</v>
      </c>
      <c r="AG34" s="27">
        <v>107302</v>
      </c>
      <c r="AH34" s="304">
        <v>106891</v>
      </c>
      <c r="AI34" s="34">
        <v>107353</v>
      </c>
      <c r="AJ34" s="311">
        <v>104067</v>
      </c>
      <c r="AK34" s="372">
        <v>107867</v>
      </c>
      <c r="AL34" s="372">
        <v>112753</v>
      </c>
      <c r="AM34" s="34">
        <v>116878</v>
      </c>
      <c r="AN34" s="34">
        <v>120314</v>
      </c>
      <c r="AO34" s="34">
        <v>122114</v>
      </c>
      <c r="AP34" s="34">
        <v>121301</v>
      </c>
    </row>
    <row r="35" spans="1:42">
      <c r="A35" s="40" t="s">
        <v>313</v>
      </c>
      <c r="B35" s="41">
        <v>65268</v>
      </c>
      <c r="C35" s="41">
        <v>64253</v>
      </c>
      <c r="D35" s="41">
        <v>63950</v>
      </c>
      <c r="E35" s="41">
        <v>68112</v>
      </c>
      <c r="F35" s="41">
        <v>75097</v>
      </c>
      <c r="G35" s="41">
        <v>83984</v>
      </c>
      <c r="H35" s="41">
        <v>91757</v>
      </c>
      <c r="I35" s="41">
        <v>98042</v>
      </c>
      <c r="J35" s="41">
        <v>103418</v>
      </c>
      <c r="K35" s="41">
        <v>107736</v>
      </c>
      <c r="L35" s="41">
        <v>110741</v>
      </c>
      <c r="M35" s="42">
        <v>112810</v>
      </c>
      <c r="N35" s="42">
        <v>113356</v>
      </c>
      <c r="O35" s="42">
        <v>113762</v>
      </c>
      <c r="P35" s="42">
        <v>113450</v>
      </c>
      <c r="Q35" s="42">
        <v>114095</v>
      </c>
      <c r="R35" s="42">
        <v>111889</v>
      </c>
      <c r="S35" s="42">
        <v>110405</v>
      </c>
      <c r="T35" s="42">
        <v>109090</v>
      </c>
      <c r="U35" s="42">
        <v>109421</v>
      </c>
      <c r="V35" s="42">
        <v>108044</v>
      </c>
      <c r="W35" s="42">
        <v>107757</v>
      </c>
      <c r="X35" s="42">
        <v>107730</v>
      </c>
      <c r="Y35" s="43">
        <v>106465</v>
      </c>
      <c r="Z35" s="43">
        <v>106230</v>
      </c>
      <c r="AA35" s="43">
        <v>105587</v>
      </c>
      <c r="AB35" s="43">
        <v>102982</v>
      </c>
      <c r="AC35" s="43">
        <v>100669</v>
      </c>
      <c r="AD35" s="41">
        <v>98036</v>
      </c>
      <c r="AE35" s="41">
        <v>93961</v>
      </c>
      <c r="AF35" s="27">
        <v>91499</v>
      </c>
      <c r="AG35" s="27">
        <v>93146</v>
      </c>
      <c r="AH35" s="304">
        <v>95950</v>
      </c>
      <c r="AI35" s="34">
        <v>98373</v>
      </c>
      <c r="AJ35" s="311">
        <v>98097</v>
      </c>
      <c r="AK35" s="372">
        <v>98916</v>
      </c>
      <c r="AL35" s="372">
        <v>98061</v>
      </c>
      <c r="AM35" s="34">
        <v>97783</v>
      </c>
      <c r="AN35" s="34">
        <v>98525</v>
      </c>
      <c r="AO35" s="34">
        <v>100172</v>
      </c>
      <c r="AP35" s="34">
        <v>103924</v>
      </c>
    </row>
    <row r="36" spans="1:42">
      <c r="A36" s="40" t="s">
        <v>160</v>
      </c>
      <c r="B36" s="41">
        <v>77992</v>
      </c>
      <c r="C36" s="41">
        <v>77903</v>
      </c>
      <c r="D36" s="41">
        <v>74002</v>
      </c>
      <c r="E36" s="41">
        <v>69647</v>
      </c>
      <c r="F36" s="41">
        <v>64301</v>
      </c>
      <c r="G36" s="41">
        <v>59599</v>
      </c>
      <c r="H36" s="41">
        <v>57466</v>
      </c>
      <c r="I36" s="41">
        <v>58823</v>
      </c>
      <c r="J36" s="41">
        <v>63270</v>
      </c>
      <c r="K36" s="41">
        <v>70075</v>
      </c>
      <c r="L36" s="41">
        <v>78631</v>
      </c>
      <c r="M36" s="42">
        <v>83275</v>
      </c>
      <c r="N36" s="42">
        <v>90116</v>
      </c>
      <c r="O36" s="42">
        <v>95550</v>
      </c>
      <c r="P36" s="42">
        <v>99672</v>
      </c>
      <c r="Q36" s="42">
        <v>101656</v>
      </c>
      <c r="R36" s="42">
        <v>104109</v>
      </c>
      <c r="S36" s="42">
        <v>103994</v>
      </c>
      <c r="T36" s="42">
        <v>104023</v>
      </c>
      <c r="U36" s="42">
        <v>103505</v>
      </c>
      <c r="V36" s="42">
        <v>104295</v>
      </c>
      <c r="W36" s="42">
        <v>102391</v>
      </c>
      <c r="X36" s="42">
        <v>101332</v>
      </c>
      <c r="Y36" s="43">
        <v>101177</v>
      </c>
      <c r="Z36" s="43">
        <v>100847</v>
      </c>
      <c r="AA36" s="43">
        <v>100381</v>
      </c>
      <c r="AB36" s="43">
        <v>100764</v>
      </c>
      <c r="AC36" s="43">
        <v>100692</v>
      </c>
      <c r="AD36" s="41">
        <v>99946</v>
      </c>
      <c r="AE36" s="41">
        <v>99856</v>
      </c>
      <c r="AF36" s="27">
        <v>99434</v>
      </c>
      <c r="AG36" s="27">
        <v>96867</v>
      </c>
      <c r="AH36" s="304">
        <v>94433</v>
      </c>
      <c r="AI36" s="34">
        <v>92032</v>
      </c>
      <c r="AJ36" s="311">
        <v>85141</v>
      </c>
      <c r="AK36" s="372">
        <v>83247</v>
      </c>
      <c r="AL36" s="372">
        <v>85261</v>
      </c>
      <c r="AM36" s="34">
        <v>88018</v>
      </c>
      <c r="AN36" s="34">
        <v>90034</v>
      </c>
      <c r="AO36" s="34">
        <v>92493</v>
      </c>
      <c r="AP36" s="34">
        <v>93449</v>
      </c>
    </row>
    <row r="37" spans="1:42">
      <c r="A37" s="40" t="s">
        <v>314</v>
      </c>
      <c r="B37" s="41">
        <v>66729</v>
      </c>
      <c r="C37" s="41">
        <v>68284</v>
      </c>
      <c r="D37" s="41">
        <v>68281</v>
      </c>
      <c r="E37" s="41">
        <v>68159</v>
      </c>
      <c r="F37" s="41">
        <v>68117</v>
      </c>
      <c r="G37" s="41">
        <v>67955</v>
      </c>
      <c r="H37" s="41">
        <v>67287</v>
      </c>
      <c r="I37" s="41">
        <v>65316</v>
      </c>
      <c r="J37" s="41">
        <v>62062</v>
      </c>
      <c r="K37" s="41">
        <v>57901</v>
      </c>
      <c r="L37" s="41">
        <v>53856</v>
      </c>
      <c r="M37" s="42">
        <v>51863</v>
      </c>
      <c r="N37" s="42">
        <v>50869</v>
      </c>
      <c r="O37" s="42">
        <v>54203</v>
      </c>
      <c r="P37" s="42">
        <v>58940</v>
      </c>
      <c r="Q37" s="42">
        <v>66257</v>
      </c>
      <c r="R37" s="42">
        <v>73494</v>
      </c>
      <c r="S37" s="42">
        <v>79118</v>
      </c>
      <c r="T37" s="42">
        <v>83655</v>
      </c>
      <c r="U37" s="42">
        <v>87080</v>
      </c>
      <c r="V37" s="42">
        <v>89038</v>
      </c>
      <c r="W37" s="42">
        <v>91503</v>
      </c>
      <c r="X37" s="42">
        <v>91700</v>
      </c>
      <c r="Y37" s="43">
        <v>91675</v>
      </c>
      <c r="Z37" s="43">
        <v>92475</v>
      </c>
      <c r="AA37" s="43">
        <v>92262</v>
      </c>
      <c r="AB37" s="43">
        <v>91625</v>
      </c>
      <c r="AC37" s="43">
        <v>91495</v>
      </c>
      <c r="AD37" s="41">
        <v>91634</v>
      </c>
      <c r="AE37" s="41">
        <v>91662</v>
      </c>
      <c r="AF37" s="27">
        <v>91485</v>
      </c>
      <c r="AG37" s="27">
        <v>91692</v>
      </c>
      <c r="AH37" s="304">
        <v>91542</v>
      </c>
      <c r="AI37" s="34">
        <v>91078</v>
      </c>
      <c r="AJ37" s="311">
        <v>91236</v>
      </c>
      <c r="AK37" s="372">
        <v>90066</v>
      </c>
      <c r="AL37" s="372">
        <v>87053</v>
      </c>
      <c r="AM37" s="34">
        <v>84213</v>
      </c>
      <c r="AN37" s="34">
        <v>81512</v>
      </c>
      <c r="AO37" s="34">
        <v>78084</v>
      </c>
      <c r="AP37" s="34">
        <v>76510</v>
      </c>
    </row>
    <row r="38" spans="1:42">
      <c r="A38" s="40" t="s">
        <v>315</v>
      </c>
      <c r="B38" s="41">
        <v>49272</v>
      </c>
      <c r="C38" s="41">
        <v>49912</v>
      </c>
      <c r="D38" s="41">
        <v>50938</v>
      </c>
      <c r="E38" s="41">
        <v>51333</v>
      </c>
      <c r="F38" s="41">
        <v>52033</v>
      </c>
      <c r="G38" s="41">
        <v>52990</v>
      </c>
      <c r="H38" s="41">
        <v>54046</v>
      </c>
      <c r="I38" s="41">
        <v>54840</v>
      </c>
      <c r="J38" s="41">
        <v>55348</v>
      </c>
      <c r="K38" s="41">
        <v>55854</v>
      </c>
      <c r="L38" s="41">
        <v>56055</v>
      </c>
      <c r="M38" s="42">
        <v>55390</v>
      </c>
      <c r="N38" s="42">
        <v>54933</v>
      </c>
      <c r="O38" s="42">
        <v>52077</v>
      </c>
      <c r="P38" s="42">
        <v>49181</v>
      </c>
      <c r="Q38" s="42">
        <v>44733</v>
      </c>
      <c r="R38" s="42">
        <v>41876</v>
      </c>
      <c r="S38" s="42">
        <v>41058</v>
      </c>
      <c r="T38" s="42">
        <v>43776</v>
      </c>
      <c r="U38" s="42">
        <v>47646</v>
      </c>
      <c r="V38" s="42">
        <v>53729</v>
      </c>
      <c r="W38" s="42">
        <v>59691</v>
      </c>
      <c r="X38" s="42">
        <v>64611</v>
      </c>
      <c r="Y38" s="43">
        <v>68903</v>
      </c>
      <c r="Z38" s="43">
        <v>72953</v>
      </c>
      <c r="AA38" s="43">
        <v>75177</v>
      </c>
      <c r="AB38" s="43">
        <v>76332</v>
      </c>
      <c r="AC38" s="43">
        <v>76595</v>
      </c>
      <c r="AD38" s="41">
        <v>77120</v>
      </c>
      <c r="AE38" s="41">
        <v>77756</v>
      </c>
      <c r="AF38" s="27">
        <v>78030</v>
      </c>
      <c r="AG38" s="27">
        <v>77755</v>
      </c>
      <c r="AH38" s="304">
        <v>77729</v>
      </c>
      <c r="AI38" s="34">
        <v>78265</v>
      </c>
      <c r="AJ38" s="311">
        <v>80259</v>
      </c>
      <c r="AK38" s="372">
        <v>80494</v>
      </c>
      <c r="AL38" s="372">
        <v>81043</v>
      </c>
      <c r="AM38" s="34">
        <v>81014</v>
      </c>
      <c r="AN38" s="34">
        <v>80312</v>
      </c>
      <c r="AO38" s="34">
        <v>79817</v>
      </c>
      <c r="AP38" s="34">
        <v>78882</v>
      </c>
    </row>
    <row r="39" spans="1:42">
      <c r="A39" s="40" t="s">
        <v>316</v>
      </c>
      <c r="B39" s="41">
        <v>26015</v>
      </c>
      <c r="C39" s="41">
        <v>27393</v>
      </c>
      <c r="D39" s="41">
        <v>28952</v>
      </c>
      <c r="E39" s="41">
        <v>30355</v>
      </c>
      <c r="F39" s="41">
        <v>32058</v>
      </c>
      <c r="G39" s="41">
        <v>33491</v>
      </c>
      <c r="H39" s="41">
        <v>34315</v>
      </c>
      <c r="I39" s="41">
        <v>34933</v>
      </c>
      <c r="J39" s="41">
        <v>35717</v>
      </c>
      <c r="K39" s="41">
        <v>36582</v>
      </c>
      <c r="L39" s="41">
        <v>37308</v>
      </c>
      <c r="M39" s="42">
        <v>37174</v>
      </c>
      <c r="N39" s="42">
        <v>38196</v>
      </c>
      <c r="O39" s="42">
        <v>38890</v>
      </c>
      <c r="P39" s="42">
        <v>38906</v>
      </c>
      <c r="Q39" s="42">
        <v>39325</v>
      </c>
      <c r="R39" s="42">
        <v>38692</v>
      </c>
      <c r="S39" s="42">
        <v>38083</v>
      </c>
      <c r="T39" s="42">
        <v>35883</v>
      </c>
      <c r="U39" s="42">
        <v>33917</v>
      </c>
      <c r="V39" s="42">
        <v>30769</v>
      </c>
      <c r="W39" s="42">
        <v>29079</v>
      </c>
      <c r="X39" s="42">
        <v>28790</v>
      </c>
      <c r="Y39" s="43">
        <v>31561</v>
      </c>
      <c r="Z39" s="43">
        <v>36840</v>
      </c>
      <c r="AA39" s="43">
        <v>41671</v>
      </c>
      <c r="AB39" s="43">
        <v>45086</v>
      </c>
      <c r="AC39" s="43">
        <v>47668</v>
      </c>
      <c r="AD39" s="41">
        <v>50293</v>
      </c>
      <c r="AE39" s="41">
        <v>52299</v>
      </c>
      <c r="AF39" s="27">
        <v>54269</v>
      </c>
      <c r="AG39" s="27">
        <v>55810</v>
      </c>
      <c r="AH39" s="304">
        <v>56722</v>
      </c>
      <c r="AI39" s="34">
        <v>57481</v>
      </c>
      <c r="AJ39" s="311">
        <v>60258</v>
      </c>
      <c r="AK39" s="372">
        <v>60795</v>
      </c>
      <c r="AL39" s="372">
        <v>60746</v>
      </c>
      <c r="AM39" s="34">
        <v>61046</v>
      </c>
      <c r="AN39" s="34">
        <v>61914</v>
      </c>
      <c r="AO39" s="34">
        <v>62739</v>
      </c>
      <c r="AP39" s="34">
        <v>63214</v>
      </c>
    </row>
    <row r="40" spans="1:42">
      <c r="A40" s="40" t="s">
        <v>317</v>
      </c>
      <c r="B40" s="41">
        <v>18448</v>
      </c>
      <c r="C40" s="41">
        <v>18721</v>
      </c>
      <c r="D40" s="41">
        <v>18974</v>
      </c>
      <c r="E40" s="41">
        <v>19615</v>
      </c>
      <c r="F40" s="41">
        <v>20106</v>
      </c>
      <c r="G40" s="41">
        <v>20764</v>
      </c>
      <c r="H40" s="41">
        <v>21449</v>
      </c>
      <c r="I40" s="41">
        <v>22193</v>
      </c>
      <c r="J40" s="41">
        <v>23249</v>
      </c>
      <c r="K40" s="41">
        <v>24427</v>
      </c>
      <c r="L40" s="41">
        <v>25445</v>
      </c>
      <c r="M40" s="42">
        <v>27092</v>
      </c>
      <c r="N40" s="42">
        <v>27752</v>
      </c>
      <c r="O40" s="42">
        <v>28252</v>
      </c>
      <c r="P40" s="42">
        <v>29235</v>
      </c>
      <c r="Q40" s="42">
        <v>30007</v>
      </c>
      <c r="R40" s="42">
        <v>29952</v>
      </c>
      <c r="S40" s="42">
        <v>30120</v>
      </c>
      <c r="T40" s="42">
        <v>30297</v>
      </c>
      <c r="U40" s="42">
        <v>30306</v>
      </c>
      <c r="V40" s="42">
        <v>30601</v>
      </c>
      <c r="W40" s="42">
        <v>30460</v>
      </c>
      <c r="X40" s="42">
        <v>30514</v>
      </c>
      <c r="Y40" s="43">
        <v>27634</v>
      </c>
      <c r="Z40" s="43">
        <v>28582</v>
      </c>
      <c r="AA40" s="43">
        <v>27853</v>
      </c>
      <c r="AB40" s="43">
        <v>26247</v>
      </c>
      <c r="AC40" s="43">
        <v>25179</v>
      </c>
      <c r="AD40" s="41">
        <v>26258</v>
      </c>
      <c r="AE40" s="41">
        <v>27898</v>
      </c>
      <c r="AF40" s="27">
        <v>29890</v>
      </c>
      <c r="AG40" s="27">
        <v>32069</v>
      </c>
      <c r="AH40" s="304">
        <v>34259</v>
      </c>
      <c r="AI40" s="34">
        <v>36496</v>
      </c>
      <c r="AJ40" s="311">
        <v>42993</v>
      </c>
      <c r="AK40" s="372">
        <v>45422</v>
      </c>
      <c r="AL40" s="372">
        <v>47648</v>
      </c>
      <c r="AM40" s="34">
        <v>49298</v>
      </c>
      <c r="AN40" s="34">
        <v>50775</v>
      </c>
      <c r="AO40" s="34">
        <v>52387</v>
      </c>
      <c r="AP40" s="34">
        <v>53943</v>
      </c>
    </row>
    <row r="41" spans="1:42" ht="15.75">
      <c r="A41" s="40" t="s">
        <v>318</v>
      </c>
      <c r="B41" s="47">
        <v>1785753</v>
      </c>
      <c r="C41" s="47">
        <v>1807844</v>
      </c>
      <c r="D41" s="47">
        <v>1806938</v>
      </c>
      <c r="E41" s="47">
        <v>1817606</v>
      </c>
      <c r="F41" s="47">
        <v>1830350</v>
      </c>
      <c r="G41" s="47">
        <v>1844951</v>
      </c>
      <c r="H41" s="47">
        <v>1859577</v>
      </c>
      <c r="I41" s="47">
        <v>1874524</v>
      </c>
      <c r="J41" s="47">
        <v>1891400</v>
      </c>
      <c r="K41" s="47">
        <v>1908934</v>
      </c>
      <c r="L41" s="47">
        <v>1926455</v>
      </c>
      <c r="M41" s="45">
        <v>1935849</v>
      </c>
      <c r="N41" s="45">
        <v>1946235</v>
      </c>
      <c r="O41" s="45">
        <v>1950992</v>
      </c>
      <c r="P41" s="45">
        <v>1953537</v>
      </c>
      <c r="Q41" s="45">
        <v>1947924</v>
      </c>
      <c r="R41" s="45">
        <v>1937924</v>
      </c>
      <c r="S41" s="45">
        <v>1925783</v>
      </c>
      <c r="T41" s="45">
        <v>1913647</v>
      </c>
      <c r="U41" s="45">
        <v>1902172</v>
      </c>
      <c r="V41" s="45">
        <v>1890607</v>
      </c>
      <c r="W41" s="45">
        <v>1878840</v>
      </c>
      <c r="X41" s="45">
        <v>1867773</v>
      </c>
      <c r="Y41" s="54">
        <v>1853588</v>
      </c>
      <c r="Z41" s="54">
        <v>1848179</v>
      </c>
      <c r="AA41" s="54">
        <v>1841209</v>
      </c>
      <c r="AB41" s="54">
        <v>1832170</v>
      </c>
      <c r="AC41" s="54">
        <v>1821902</v>
      </c>
      <c r="AD41" s="47">
        <v>1812275</v>
      </c>
      <c r="AE41" s="48">
        <v>1803639</v>
      </c>
      <c r="AF41" s="48">
        <v>1794994</v>
      </c>
      <c r="AG41" s="48">
        <v>1785956</v>
      </c>
      <c r="AH41" s="305">
        <v>1759310</v>
      </c>
      <c r="AI41" s="35">
        <v>1725694</v>
      </c>
      <c r="AJ41" s="313">
        <v>1611572</v>
      </c>
      <c r="AK41" s="35">
        <v>1595246</v>
      </c>
      <c r="AL41" s="35">
        <v>1581241</v>
      </c>
      <c r="AM41" s="35">
        <v>1566978</v>
      </c>
      <c r="AN41" s="35">
        <v>1547334</v>
      </c>
      <c r="AO41" s="35">
        <v>1523663</v>
      </c>
      <c r="AP41" s="35">
        <v>1505101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C000"/>
  </sheetPr>
  <dimension ref="A1:AE53"/>
  <sheetViews>
    <sheetView zoomScaleNormal="100" workbookViewId="0">
      <selection activeCell="W30" sqref="W30"/>
    </sheetView>
  </sheetViews>
  <sheetFormatPr defaultRowHeight="12.75"/>
  <cols>
    <col min="1" max="1" width="5.5703125" bestFit="1" customWidth="1"/>
    <col min="2" max="2" width="2.140625" customWidth="1"/>
    <col min="3" max="3" width="13.28515625" bestFit="1" customWidth="1"/>
    <col min="4" max="6" width="7.7109375" customWidth="1"/>
    <col min="7" max="7" width="4.7109375" customWidth="1"/>
    <col min="8" max="8" width="10.7109375" customWidth="1"/>
    <col min="9" max="9" width="7.7109375" customWidth="1"/>
    <col min="10" max="11" width="4.5703125" customWidth="1"/>
    <col min="12" max="12" width="5.28515625" customWidth="1"/>
    <col min="13" max="16" width="7.7109375" customWidth="1"/>
    <col min="17" max="17" width="4.7109375" customWidth="1"/>
    <col min="18" max="18" width="10.7109375" customWidth="1"/>
    <col min="19" max="19" width="7.7109375" customWidth="1"/>
    <col min="20" max="20" width="0.140625" customWidth="1"/>
    <col min="21" max="21" width="4.42578125" customWidth="1"/>
    <col min="22" max="22" width="3.140625" style="221" customWidth="1"/>
    <col min="23" max="25" width="7.7109375" style="221" customWidth="1"/>
    <col min="26" max="26" width="8.5703125" style="221" bestFit="1" customWidth="1"/>
    <col min="27" max="29" width="7.7109375" style="221" customWidth="1"/>
    <col min="30" max="30" width="8.5703125" style="221" bestFit="1" customWidth="1"/>
    <col min="31" max="31" width="7.7109375" style="221" customWidth="1"/>
  </cols>
  <sheetData>
    <row r="1" spans="1:31" ht="20.100000000000001" customHeight="1">
      <c r="A1" s="253">
        <v>2012</v>
      </c>
      <c r="B1" s="253"/>
      <c r="C1" s="253" t="s">
        <v>406</v>
      </c>
      <c r="D1" s="31"/>
      <c r="E1" s="254"/>
      <c r="F1" s="31"/>
      <c r="G1" s="255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503"/>
      <c r="X1" s="503"/>
      <c r="Y1" s="503"/>
      <c r="Z1" s="252"/>
      <c r="AA1" s="503"/>
      <c r="AB1" s="503"/>
      <c r="AC1" s="503"/>
      <c r="AD1" s="31"/>
      <c r="AE1" s="31"/>
    </row>
    <row r="2" spans="1:31" ht="20.100000000000001" customHeight="1" thickBot="1">
      <c r="A2" s="253"/>
      <c r="B2" s="245"/>
      <c r="C2" s="245"/>
      <c r="D2" s="78"/>
      <c r="E2" s="246"/>
      <c r="F2" s="78"/>
      <c r="G2" s="247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31"/>
      <c r="W2" s="225"/>
      <c r="X2" s="225"/>
      <c r="Y2" s="225"/>
      <c r="Z2" s="252"/>
      <c r="AA2" s="225"/>
      <c r="AB2" s="225"/>
      <c r="AC2" s="225"/>
      <c r="AD2" s="31"/>
      <c r="AE2" s="31"/>
    </row>
    <row r="3" spans="1:31" ht="15">
      <c r="A3" s="31"/>
      <c r="B3" s="78"/>
      <c r="C3" s="78"/>
      <c r="D3" s="78"/>
      <c r="E3" s="78"/>
      <c r="F3" s="78"/>
      <c r="G3" s="78"/>
      <c r="H3" s="78"/>
      <c r="I3" s="78"/>
      <c r="J3" s="78"/>
      <c r="K3" s="78"/>
      <c r="L3" s="226"/>
      <c r="M3" s="227"/>
      <c r="N3" s="228"/>
      <c r="O3" s="228"/>
      <c r="P3" s="229">
        <v>2015</v>
      </c>
      <c r="Q3" s="228"/>
      <c r="R3" s="230"/>
      <c r="S3" s="231"/>
      <c r="T3" s="232">
        <f>A1</f>
        <v>2012</v>
      </c>
      <c r="U3" s="233"/>
      <c r="V3" s="31"/>
      <c r="W3" s="256"/>
      <c r="X3" s="496">
        <v>1978</v>
      </c>
      <c r="Y3" s="496"/>
      <c r="Z3" s="496"/>
      <c r="AA3" s="497"/>
      <c r="AB3" s="498">
        <f>2015</f>
        <v>2015</v>
      </c>
      <c r="AC3" s="496"/>
      <c r="AD3" s="496"/>
      <c r="AE3" s="497"/>
    </row>
    <row r="4" spans="1:31" ht="15">
      <c r="A4" s="31"/>
      <c r="B4" s="78"/>
      <c r="C4" s="78"/>
      <c r="D4" s="78"/>
      <c r="E4" s="78"/>
      <c r="F4" s="78"/>
      <c r="G4" s="78"/>
      <c r="H4" s="78"/>
      <c r="I4" s="78"/>
      <c r="J4" s="78"/>
      <c r="K4" s="78"/>
      <c r="L4" s="234"/>
      <c r="M4" s="235"/>
      <c r="N4" s="235"/>
      <c r="O4" s="235"/>
      <c r="P4" s="235"/>
      <c r="Q4" s="235"/>
      <c r="R4" s="235"/>
      <c r="S4" s="233"/>
      <c r="T4" s="236"/>
      <c r="U4" s="235"/>
      <c r="V4" s="31"/>
      <c r="W4" s="257"/>
      <c r="X4" s="251" t="s">
        <v>247</v>
      </c>
      <c r="Y4" s="251" t="s">
        <v>266</v>
      </c>
      <c r="Z4" s="251" t="s">
        <v>247</v>
      </c>
      <c r="AA4" s="258" t="s">
        <v>266</v>
      </c>
      <c r="AB4" s="266" t="s">
        <v>247</v>
      </c>
      <c r="AC4" s="267" t="s">
        <v>266</v>
      </c>
      <c r="AD4" s="251" t="s">
        <v>247</v>
      </c>
      <c r="AE4" s="258" t="s">
        <v>266</v>
      </c>
    </row>
    <row r="5" spans="1:31">
      <c r="A5" s="31"/>
      <c r="B5" s="78"/>
      <c r="C5" s="78"/>
      <c r="D5" s="78"/>
      <c r="E5" s="78"/>
      <c r="F5" s="78"/>
      <c r="G5" s="78"/>
      <c r="H5" s="78"/>
      <c r="I5" s="78"/>
      <c r="J5" s="78"/>
      <c r="K5" s="78"/>
      <c r="L5" s="234"/>
      <c r="M5" s="235"/>
      <c r="N5" s="235"/>
      <c r="O5" s="235"/>
      <c r="P5" s="235"/>
      <c r="Q5" s="235"/>
      <c r="R5" s="235"/>
      <c r="S5" s="235"/>
      <c r="T5" s="236"/>
      <c r="U5" s="235"/>
      <c r="V5" s="31"/>
      <c r="W5" s="257" t="s">
        <v>249</v>
      </c>
      <c r="X5" s="259">
        <f t="shared" ref="X5:X22" si="0">Z5/$Z$23</f>
        <v>-8.2632851090317663E-2</v>
      </c>
      <c r="Y5" s="259">
        <f t="shared" ref="Y5:Y22" si="1">AA5/$AA$23</f>
        <v>7.1721005088609679E-2</v>
      </c>
      <c r="Z5" s="260">
        <v>131689</v>
      </c>
      <c r="AA5" s="261">
        <v>128076</v>
      </c>
      <c r="AB5" s="268">
        <f t="shared" ref="AB5:AB22" si="2">AD5/$AD$23</f>
        <v>-5.7858695359704379E-2</v>
      </c>
      <c r="AC5" s="259">
        <f t="shared" ref="AC5:AC22" si="3">AE5/$AE$23</f>
        <v>4.6952158868854572E-2</v>
      </c>
      <c r="AD5" s="260">
        <f>HLOOKUP(Lent02v!$X$2,Populiacija!$B$1:$BB$20,2,FALSE)</f>
        <v>77411</v>
      </c>
      <c r="AE5" s="261">
        <f>HLOOKUP(Lent02m!$X$2,Populiacija!$B$1:$BB$40,23,FALSE)</f>
        <v>73573</v>
      </c>
    </row>
    <row r="6" spans="1:31">
      <c r="A6" s="31"/>
      <c r="B6" s="78"/>
      <c r="C6" s="78"/>
      <c r="D6" s="78"/>
      <c r="E6" s="78"/>
      <c r="F6" s="78"/>
      <c r="G6" s="78"/>
      <c r="H6" s="78"/>
      <c r="I6" s="78"/>
      <c r="J6" s="78"/>
      <c r="K6" s="78"/>
      <c r="L6" s="234"/>
      <c r="M6" s="235"/>
      <c r="N6" s="235"/>
      <c r="O6" s="235"/>
      <c r="P6" s="235"/>
      <c r="Q6" s="235"/>
      <c r="R6" s="235"/>
      <c r="S6" s="235"/>
      <c r="T6" s="236"/>
      <c r="U6" s="235"/>
      <c r="V6" s="31"/>
      <c r="W6" s="257" t="s">
        <v>250</v>
      </c>
      <c r="X6" s="259">
        <f t="shared" si="0"/>
        <v>-8.7398598449861448E-2</v>
      </c>
      <c r="Y6" s="259">
        <f t="shared" si="1"/>
        <v>7.5527802557240564E-2</v>
      </c>
      <c r="Z6" s="260">
        <v>139284</v>
      </c>
      <c r="AA6" s="261">
        <v>134874</v>
      </c>
      <c r="AB6" s="268">
        <f t="shared" si="2"/>
        <v>-5.3268028569463916E-2</v>
      </c>
      <c r="AC6" s="259">
        <f t="shared" si="3"/>
        <v>4.3467106749424687E-2</v>
      </c>
      <c r="AD6" s="260">
        <f>HLOOKUP(Lent02v!$X$2,Populiacija!$B$1:$BB$20,3,FALSE)</f>
        <v>71269</v>
      </c>
      <c r="AE6" s="261">
        <f>HLOOKUP(Lent02m!$X$2,Populiacija!$B$1:$BB$40,24,FALSE)</f>
        <v>68112</v>
      </c>
    </row>
    <row r="7" spans="1:31" ht="15">
      <c r="A7" s="31"/>
      <c r="B7" s="78"/>
      <c r="C7" s="78"/>
      <c r="D7" s="78"/>
      <c r="E7" s="78"/>
      <c r="F7" s="78"/>
      <c r="G7" s="78"/>
      <c r="H7" s="78"/>
      <c r="I7" s="78"/>
      <c r="J7" s="78"/>
      <c r="K7" s="78"/>
      <c r="L7" s="234"/>
      <c r="M7" s="235"/>
      <c r="N7" s="235"/>
      <c r="O7" s="235"/>
      <c r="P7" s="235"/>
      <c r="Q7" s="235"/>
      <c r="R7" s="237"/>
      <c r="S7" s="238"/>
      <c r="T7" s="236"/>
      <c r="U7" s="235"/>
      <c r="V7" s="31"/>
      <c r="W7" s="257" t="s">
        <v>251</v>
      </c>
      <c r="X7" s="259">
        <f t="shared" si="0"/>
        <v>-8.7034657242681016E-2</v>
      </c>
      <c r="Y7" s="259">
        <f t="shared" si="1"/>
        <v>7.5403485252439728E-2</v>
      </c>
      <c r="Z7" s="260">
        <v>138704</v>
      </c>
      <c r="AA7" s="261">
        <v>134652</v>
      </c>
      <c r="AB7" s="268">
        <f t="shared" si="2"/>
        <v>-5.1457024721734738E-2</v>
      </c>
      <c r="AC7" s="259">
        <f t="shared" si="3"/>
        <v>4.173255782786995E-2</v>
      </c>
      <c r="AD7" s="260">
        <f>HLOOKUP(Lent02v!$X$2,Populiacija!$B$1:$BB$20,4,FALSE)</f>
        <v>68846</v>
      </c>
      <c r="AE7" s="261">
        <f>HLOOKUP(Lent02m!$X$2,Populiacija!$B$1:$BB$40,25,FALSE)</f>
        <v>65394</v>
      </c>
    </row>
    <row r="8" spans="1:31">
      <c r="A8" s="31"/>
      <c r="B8" s="78"/>
      <c r="C8" s="78"/>
      <c r="D8" s="78"/>
      <c r="E8" s="78"/>
      <c r="F8" s="78"/>
      <c r="G8" s="78"/>
      <c r="H8" s="78"/>
      <c r="I8" s="78"/>
      <c r="J8" s="78"/>
      <c r="K8" s="78"/>
      <c r="L8" s="234"/>
      <c r="M8" s="235"/>
      <c r="N8" s="235"/>
      <c r="O8" s="235"/>
      <c r="P8" s="235"/>
      <c r="Q8" s="235"/>
      <c r="R8" s="239"/>
      <c r="S8" s="239"/>
      <c r="T8" s="236"/>
      <c r="U8" s="235"/>
      <c r="V8" s="31"/>
      <c r="W8" s="257" t="s">
        <v>252</v>
      </c>
      <c r="X8" s="259">
        <f t="shared" si="0"/>
        <v>-9.7385019677924581E-2</v>
      </c>
      <c r="Y8" s="259">
        <f t="shared" si="1"/>
        <v>8.0916005740995542E-2</v>
      </c>
      <c r="Z8" s="260">
        <v>155199</v>
      </c>
      <c r="AA8" s="261">
        <v>144496</v>
      </c>
      <c r="AB8" s="268">
        <f t="shared" si="2"/>
        <v>-6.386572710720724E-2</v>
      </c>
      <c r="AC8" s="259">
        <f t="shared" si="3"/>
        <v>5.1578260830720021E-2</v>
      </c>
      <c r="AD8" s="260">
        <f>HLOOKUP(Lent02v!$X$2,Populiacija!$B$1:$BB$20,5,FALSE)</f>
        <v>85448</v>
      </c>
      <c r="AE8" s="261">
        <f>HLOOKUP(Lent02m!$X$2,Populiacija!$B$1:$BB$40,26,FALSE)</f>
        <v>80822</v>
      </c>
    </row>
    <row r="9" spans="1:31">
      <c r="A9" s="31"/>
      <c r="B9" s="78"/>
      <c r="C9" s="78"/>
      <c r="D9" s="78"/>
      <c r="E9" s="78"/>
      <c r="F9" s="78"/>
      <c r="G9" s="78"/>
      <c r="H9" s="78"/>
      <c r="I9" s="78"/>
      <c r="J9" s="78"/>
      <c r="K9" s="78"/>
      <c r="L9" s="234"/>
      <c r="M9" s="235"/>
      <c r="N9" s="235"/>
      <c r="O9" s="235"/>
      <c r="P9" s="235"/>
      <c r="Q9" s="235"/>
      <c r="R9" s="239"/>
      <c r="S9" s="239"/>
      <c r="T9" s="236"/>
      <c r="U9" s="235"/>
      <c r="V9" s="31"/>
      <c r="W9" s="257" t="s">
        <v>253</v>
      </c>
      <c r="X9" s="259">
        <f t="shared" si="0"/>
        <v>-8.4350904582145295E-2</v>
      </c>
      <c r="Y9" s="259">
        <f t="shared" si="1"/>
        <v>7.2295552632418936E-2</v>
      </c>
      <c r="Z9" s="260">
        <v>134427</v>
      </c>
      <c r="AA9" s="261">
        <v>129102</v>
      </c>
      <c r="AB9" s="268">
        <f t="shared" si="2"/>
        <v>-7.7324557600834717E-2</v>
      </c>
      <c r="AC9" s="259">
        <f t="shared" si="3"/>
        <v>6.2579053439167615E-2</v>
      </c>
      <c r="AD9" s="260">
        <f>HLOOKUP(Lent02v!$X$2,Populiacija!$B$1:$BB$20,6,FALSE)</f>
        <v>103455</v>
      </c>
      <c r="AE9" s="261">
        <f>HLOOKUP(Lent02m!$X$2,Populiacija!$B$1:$BB$40,27,FALSE)</f>
        <v>98060</v>
      </c>
    </row>
    <row r="10" spans="1:31">
      <c r="A10" s="31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234"/>
      <c r="M10" s="235"/>
      <c r="N10" s="235"/>
      <c r="O10" s="235"/>
      <c r="P10" s="235"/>
      <c r="Q10" s="235"/>
      <c r="R10" s="239"/>
      <c r="S10" s="239"/>
      <c r="T10" s="236"/>
      <c r="U10" s="235"/>
      <c r="V10" s="31"/>
      <c r="W10" s="257" t="s">
        <v>254</v>
      </c>
      <c r="X10" s="259">
        <f t="shared" si="0"/>
        <v>-7.6778417533432397E-2</v>
      </c>
      <c r="Y10" s="259">
        <f t="shared" si="1"/>
        <v>6.8426596511387633E-2</v>
      </c>
      <c r="Z10" s="260">
        <v>122359</v>
      </c>
      <c r="AA10" s="261">
        <v>122193</v>
      </c>
      <c r="AB10" s="268">
        <f t="shared" si="2"/>
        <v>-7.5094249931984589E-2</v>
      </c>
      <c r="AC10" s="259">
        <f t="shared" si="3"/>
        <v>6.0718146649155251E-2</v>
      </c>
      <c r="AD10" s="260">
        <f>HLOOKUP(Lent02v!$X$2,Populiacija!$B$1:$BB$20,7,FALSE)</f>
        <v>100471</v>
      </c>
      <c r="AE10" s="261">
        <f>HLOOKUP(Lent02m!$X$2,Populiacija!$B$1:$BB$40,28,FALSE)</f>
        <v>95144</v>
      </c>
    </row>
    <row r="11" spans="1:31">
      <c r="A11" s="31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234"/>
      <c r="M11" s="235"/>
      <c r="N11" s="235"/>
      <c r="O11" s="235"/>
      <c r="P11" s="235"/>
      <c r="Q11" s="235"/>
      <c r="R11" s="239"/>
      <c r="S11" s="239"/>
      <c r="T11" s="236"/>
      <c r="U11" s="235"/>
      <c r="V11" s="31"/>
      <c r="W11" s="257" t="s">
        <v>255</v>
      </c>
      <c r="X11" s="259">
        <f t="shared" si="0"/>
        <v>-6.6259889161077862E-2</v>
      </c>
      <c r="Y11" s="259">
        <f t="shared" si="1"/>
        <v>6.1934097268771214E-2</v>
      </c>
      <c r="Z11" s="260">
        <v>105596</v>
      </c>
      <c r="AA11" s="261">
        <v>110599</v>
      </c>
      <c r="AB11" s="268">
        <f t="shared" si="2"/>
        <v>-6.7513894577601846E-2</v>
      </c>
      <c r="AC11" s="259">
        <f t="shared" si="3"/>
        <v>5.6019931358321562E-2</v>
      </c>
      <c r="AD11" s="260">
        <f>HLOOKUP(Lent02v!$X$2,Populiacija!$B$1:$BB$20,8,FALSE)</f>
        <v>90329</v>
      </c>
      <c r="AE11" s="261">
        <f>HLOOKUP(Lent02m!$X$2,Populiacija!$B$1:$BB$40,29,FALSE)</f>
        <v>87782</v>
      </c>
    </row>
    <row r="12" spans="1:31">
      <c r="A12" s="31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234"/>
      <c r="M12" s="235"/>
      <c r="N12" s="235"/>
      <c r="O12" s="235"/>
      <c r="P12" s="235"/>
      <c r="Q12" s="235"/>
      <c r="R12" s="239"/>
      <c r="S12" s="239"/>
      <c r="T12" s="236"/>
      <c r="U12" s="235"/>
      <c r="V12" s="31"/>
      <c r="W12" s="257" t="s">
        <v>256</v>
      </c>
      <c r="X12" s="259">
        <f t="shared" si="0"/>
        <v>-7.2633880165455203E-2</v>
      </c>
      <c r="Y12" s="259">
        <f t="shared" si="1"/>
        <v>6.8853867248158063E-2</v>
      </c>
      <c r="Z12" s="260">
        <v>115754</v>
      </c>
      <c r="AA12" s="261">
        <v>122956</v>
      </c>
      <c r="AB12" s="268">
        <f t="shared" si="2"/>
        <v>-6.5144566390519104E-2</v>
      </c>
      <c r="AC12" s="259">
        <f t="shared" si="3"/>
        <v>5.6920390713845373E-2</v>
      </c>
      <c r="AD12" s="260">
        <f>HLOOKUP(Lent02v!$X$2,Populiacija!$B$1:$BB$20,9,FALSE)</f>
        <v>87159</v>
      </c>
      <c r="AE12" s="261">
        <f>HLOOKUP(Lent02m!$X$2,Populiacija!$B$1:$BB$40,30,FALSE)</f>
        <v>89193</v>
      </c>
    </row>
    <row r="13" spans="1:31">
      <c r="A13" s="31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234"/>
      <c r="M13" s="235"/>
      <c r="N13" s="235"/>
      <c r="O13" s="235"/>
      <c r="P13" s="235"/>
      <c r="Q13" s="235"/>
      <c r="R13" s="239"/>
      <c r="S13" s="239"/>
      <c r="T13" s="236"/>
      <c r="U13" s="235"/>
      <c r="V13" s="31"/>
      <c r="W13" s="257" t="s">
        <v>257</v>
      </c>
      <c r="X13" s="259">
        <f t="shared" si="0"/>
        <v>-6.9465709208465523E-2</v>
      </c>
      <c r="Y13" s="259">
        <f t="shared" si="1"/>
        <v>6.9882004958132501E-2</v>
      </c>
      <c r="Z13" s="260">
        <v>110705</v>
      </c>
      <c r="AA13" s="261">
        <v>124792</v>
      </c>
      <c r="AB13" s="268">
        <f t="shared" si="2"/>
        <v>-7.1282397012703183E-2</v>
      </c>
      <c r="AC13" s="259">
        <f t="shared" si="3"/>
        <v>6.5323827137330578E-2</v>
      </c>
      <c r="AD13" s="260">
        <f>HLOOKUP(Lent02v!$X$2,Populiacija!$B$1:$BB$20,10,FALSE)</f>
        <v>95371</v>
      </c>
      <c r="AE13" s="261">
        <f>HLOOKUP(Lent02m!$X$2,Populiacija!$B$1:$BB$40,31,FALSE)</f>
        <v>102361</v>
      </c>
    </row>
    <row r="14" spans="1:31">
      <c r="A14" s="31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234"/>
      <c r="M14" s="235"/>
      <c r="N14" s="235"/>
      <c r="O14" s="235"/>
      <c r="P14" s="235"/>
      <c r="Q14" s="235"/>
      <c r="R14" s="239"/>
      <c r="S14" s="239"/>
      <c r="T14" s="236"/>
      <c r="U14" s="235"/>
      <c r="V14" s="31"/>
      <c r="W14" s="257" t="s">
        <v>258</v>
      </c>
      <c r="X14" s="259">
        <f t="shared" si="0"/>
        <v>-6.7709379141399947E-2</v>
      </c>
      <c r="Y14" s="259">
        <f t="shared" si="1"/>
        <v>6.9309137377901647E-2</v>
      </c>
      <c r="Z14" s="260">
        <v>107906</v>
      </c>
      <c r="AA14" s="261">
        <v>123769</v>
      </c>
      <c r="AB14" s="268">
        <f t="shared" si="2"/>
        <v>-7.398657031896988E-2</v>
      </c>
      <c r="AC14" s="259">
        <f t="shared" si="3"/>
        <v>6.9452793849052119E-2</v>
      </c>
      <c r="AD14" s="260">
        <f>HLOOKUP(Lent02v!$X$2,Populiacija!$B$1:$BB$20,11,FALSE)</f>
        <v>98989</v>
      </c>
      <c r="AE14" s="261">
        <f>HLOOKUP(Lent02m!$X$2,Populiacija!$B$1:$BB$40,32,FALSE)</f>
        <v>108831</v>
      </c>
    </row>
    <row r="15" spans="1:31">
      <c r="A15" s="31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234"/>
      <c r="M15" s="235"/>
      <c r="N15" s="235"/>
      <c r="O15" s="235"/>
      <c r="P15" s="235"/>
      <c r="Q15" s="235"/>
      <c r="R15" s="239"/>
      <c r="S15" s="239"/>
      <c r="T15" s="236"/>
      <c r="U15" s="235"/>
      <c r="V15" s="31"/>
      <c r="W15" s="257" t="s">
        <v>259</v>
      </c>
      <c r="X15" s="259">
        <f t="shared" si="0"/>
        <v>-5.2772102526002972E-2</v>
      </c>
      <c r="Y15" s="259">
        <f t="shared" si="1"/>
        <v>6.5330423636415558E-2</v>
      </c>
      <c r="Z15" s="260">
        <v>84101</v>
      </c>
      <c r="AA15" s="261">
        <v>116664</v>
      </c>
      <c r="AB15" s="268">
        <f t="shared" si="2"/>
        <v>-7.9029427504536856E-2</v>
      </c>
      <c r="AC15" s="259">
        <f t="shared" si="3"/>
        <v>7.623336128522544E-2</v>
      </c>
      <c r="AD15" s="260">
        <f>HLOOKUP(Lent02v!$X$2,Populiacija!$B$1:$BB$20,12,FALSE)</f>
        <v>105736</v>
      </c>
      <c r="AE15" s="261">
        <f>HLOOKUP(Lent02m!$X$2,Populiacija!$B$1:$BB$40,33,FALSE)</f>
        <v>119456</v>
      </c>
    </row>
    <row r="16" spans="1:31">
      <c r="A16" s="31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234"/>
      <c r="M16" s="235"/>
      <c r="N16" s="235"/>
      <c r="O16" s="235"/>
      <c r="P16" s="235"/>
      <c r="Q16" s="235"/>
      <c r="R16" s="239"/>
      <c r="S16" s="239"/>
      <c r="T16" s="236"/>
      <c r="U16" s="235"/>
      <c r="V16" s="31"/>
      <c r="W16" s="257" t="s">
        <v>260</v>
      </c>
      <c r="X16" s="259">
        <f t="shared" si="0"/>
        <v>-3.8180570057427414E-2</v>
      </c>
      <c r="Y16" s="259">
        <f t="shared" si="1"/>
        <v>5.0318269099925914E-2</v>
      </c>
      <c r="Z16" s="260">
        <v>60847</v>
      </c>
      <c r="AA16" s="261">
        <v>89856</v>
      </c>
      <c r="AB16" s="268">
        <f t="shared" si="2"/>
        <v>-7.2022344932328397E-2</v>
      </c>
      <c r="AC16" s="259">
        <f t="shared" si="3"/>
        <v>7.4588156311064996E-2</v>
      </c>
      <c r="AD16" s="260">
        <f>HLOOKUP(Lent02v!$X$2,Populiacija!$B$1:$BB$20,13,FALSE)</f>
        <v>96361</v>
      </c>
      <c r="AE16" s="261">
        <f>HLOOKUP(Lent02m!$X$2,Populiacija!$B$1:$BB$40,34,FALSE)</f>
        <v>116878</v>
      </c>
    </row>
    <row r="17" spans="1:31">
      <c r="A17" s="31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234"/>
      <c r="M17" s="235"/>
      <c r="N17" s="235"/>
      <c r="O17" s="235"/>
      <c r="P17" s="235"/>
      <c r="Q17" s="235"/>
      <c r="R17" s="239"/>
      <c r="S17" s="239"/>
      <c r="T17" s="236"/>
      <c r="U17" s="235"/>
      <c r="V17" s="31"/>
      <c r="W17" s="257" t="s">
        <v>261</v>
      </c>
      <c r="X17" s="259">
        <f t="shared" si="0"/>
        <v>-2.6195609614071726E-2</v>
      </c>
      <c r="Y17" s="259">
        <f t="shared" si="1"/>
        <v>3.6549287611444582E-2</v>
      </c>
      <c r="Z17" s="260">
        <v>41747</v>
      </c>
      <c r="AA17" s="261">
        <v>65268</v>
      </c>
      <c r="AB17" s="268">
        <f t="shared" si="2"/>
        <v>-5.4454187507287366E-2</v>
      </c>
      <c r="AC17" s="259">
        <f t="shared" si="3"/>
        <v>6.24022800575375E-2</v>
      </c>
      <c r="AD17" s="260">
        <f>HLOOKUP(Lent02v!$X$2,Populiacija!$B$1:$BB$20,14,FALSE)</f>
        <v>72856</v>
      </c>
      <c r="AE17" s="261">
        <f>HLOOKUP(Lent02m!$X$2,Populiacija!$B$1:$BB$40,35,FALSE)</f>
        <v>97783</v>
      </c>
    </row>
    <row r="18" spans="1:31">
      <c r="A18" s="31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234"/>
      <c r="M18" s="235"/>
      <c r="N18" s="235"/>
      <c r="O18" s="235"/>
      <c r="P18" s="235"/>
      <c r="Q18" s="235"/>
      <c r="R18" s="239"/>
      <c r="S18" s="239"/>
      <c r="T18" s="236"/>
      <c r="U18" s="235"/>
      <c r="V18" s="31"/>
      <c r="W18" s="257" t="s">
        <v>262</v>
      </c>
      <c r="X18" s="259">
        <f t="shared" si="0"/>
        <v>-2.9547633629171521E-2</v>
      </c>
      <c r="Y18" s="259">
        <f t="shared" si="1"/>
        <v>4.3674573135254427E-2</v>
      </c>
      <c r="Z18" s="260">
        <v>47089</v>
      </c>
      <c r="AA18" s="261">
        <v>77992</v>
      </c>
      <c r="AB18" s="268">
        <f t="shared" si="2"/>
        <v>-4.2783190775016966E-2</v>
      </c>
      <c r="AC18" s="259">
        <f t="shared" si="3"/>
        <v>5.6170539726786206E-2</v>
      </c>
      <c r="AD18" s="260">
        <f>HLOOKUP(Lent02v!$X$2,Populiacija!$B$1:$BB$20,15,FALSE)</f>
        <v>57241</v>
      </c>
      <c r="AE18" s="261">
        <f>HLOOKUP(Lent02m!$X$2,Populiacija!$B$1:$BB$40,36,FALSE)</f>
        <v>88018</v>
      </c>
    </row>
    <row r="19" spans="1:31">
      <c r="A19" s="31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234"/>
      <c r="M19" s="235"/>
      <c r="N19" s="235"/>
      <c r="O19" s="235"/>
      <c r="P19" s="235"/>
      <c r="Q19" s="235"/>
      <c r="R19" s="239"/>
      <c r="S19" s="239"/>
      <c r="T19" s="236"/>
      <c r="U19" s="235"/>
      <c r="V19" s="31"/>
      <c r="W19" s="257" t="s">
        <v>263</v>
      </c>
      <c r="X19" s="259">
        <f t="shared" si="0"/>
        <v>-3.1029125336331873E-2</v>
      </c>
      <c r="Y19" s="259">
        <f t="shared" si="1"/>
        <v>3.7367429874120332E-2</v>
      </c>
      <c r="Z19" s="260">
        <v>49450</v>
      </c>
      <c r="AA19" s="261">
        <v>66729</v>
      </c>
      <c r="AB19" s="268">
        <f t="shared" si="2"/>
        <v>-3.5366520869521023E-2</v>
      </c>
      <c r="AC19" s="259">
        <f t="shared" si="3"/>
        <v>5.3742298870820139E-2</v>
      </c>
      <c r="AD19" s="260">
        <f>HLOOKUP(Lent02v!$X$2,Populiacija!$B$1:$BB$20,16,FALSE)</f>
        <v>47318</v>
      </c>
      <c r="AE19" s="261">
        <f>HLOOKUP(Lent02m!$X$2,Populiacija!$B$1:$BB$40,37,FALSE)</f>
        <v>84213</v>
      </c>
    </row>
    <row r="20" spans="1:31">
      <c r="A20" s="31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234"/>
      <c r="M20" s="235"/>
      <c r="N20" s="235"/>
      <c r="O20" s="235"/>
      <c r="P20" s="235"/>
      <c r="Q20" s="235"/>
      <c r="R20" s="239"/>
      <c r="S20" s="239"/>
      <c r="T20" s="236"/>
      <c r="U20" s="235"/>
      <c r="V20" s="31"/>
      <c r="W20" s="257" t="s">
        <v>264</v>
      </c>
      <c r="X20" s="259">
        <f t="shared" si="0"/>
        <v>-1.6705528894421912E-2</v>
      </c>
      <c r="Y20" s="259">
        <f t="shared" si="1"/>
        <v>2.7591721811471126E-2</v>
      </c>
      <c r="Z20" s="260">
        <v>26623</v>
      </c>
      <c r="AA20" s="261">
        <v>49272</v>
      </c>
      <c r="AB20" s="268">
        <f t="shared" si="2"/>
        <v>-2.9541860124430837E-2</v>
      </c>
      <c r="AC20" s="259">
        <f t="shared" si="3"/>
        <v>5.1700789672860757E-2</v>
      </c>
      <c r="AD20" s="260">
        <f>HLOOKUP(Lent02v!$X$2,Populiacija!$B$1:$BB$20,17,FALSE)</f>
        <v>39525</v>
      </c>
      <c r="AE20" s="261">
        <f>HLOOKUP(Lent02m!$X$2,Populiacija!$B$1:$BB$40,38,FALSE)</f>
        <v>81014</v>
      </c>
    </row>
    <row r="21" spans="1:31">
      <c r="A21" s="31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234"/>
      <c r="M21" s="235"/>
      <c r="N21" s="235"/>
      <c r="O21" s="235"/>
      <c r="P21" s="235"/>
      <c r="Q21" s="235"/>
      <c r="R21" s="239"/>
      <c r="S21" s="239"/>
      <c r="T21" s="236"/>
      <c r="U21" s="235"/>
      <c r="V21" s="31"/>
      <c r="W21" s="257" t="s">
        <v>265</v>
      </c>
      <c r="X21" s="259">
        <f t="shared" si="0"/>
        <v>-8.6065820649773098E-3</v>
      </c>
      <c r="Y21" s="259">
        <f t="shared" si="1"/>
        <v>1.4568084163935326E-2</v>
      </c>
      <c r="Z21" s="260">
        <v>13716</v>
      </c>
      <c r="AA21" s="261">
        <v>26015</v>
      </c>
      <c r="AB21" s="268">
        <f t="shared" si="2"/>
        <v>-1.8600347401811154E-2</v>
      </c>
      <c r="AC21" s="259">
        <f t="shared" si="3"/>
        <v>3.8957790090224625E-2</v>
      </c>
      <c r="AD21" s="260">
        <f>HLOOKUP(Lent02v!$X$2,Populiacija!$B$1:$BB$20,18,FALSE)</f>
        <v>24886</v>
      </c>
      <c r="AE21" s="261">
        <f>HLOOKUP(Lent02m!$X$2,Populiacija!$B$1:$BB$40,39,FALSE)</f>
        <v>61046</v>
      </c>
    </row>
    <row r="22" spans="1:31">
      <c r="A22" s="31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234"/>
      <c r="M22" s="235"/>
      <c r="N22" s="235"/>
      <c r="O22" s="235"/>
      <c r="P22" s="235"/>
      <c r="Q22" s="235"/>
      <c r="R22" s="239"/>
      <c r="S22" s="239"/>
      <c r="T22" s="236"/>
      <c r="U22" s="235"/>
      <c r="V22" s="31"/>
      <c r="W22" s="257" t="s">
        <v>23</v>
      </c>
      <c r="X22" s="259">
        <f t="shared" si="0"/>
        <v>-5.3135416248343437E-3</v>
      </c>
      <c r="Y22" s="259">
        <f t="shared" si="1"/>
        <v>1.033065603137724E-2</v>
      </c>
      <c r="Z22" s="260">
        <v>8468</v>
      </c>
      <c r="AA22" s="261">
        <v>18448</v>
      </c>
      <c r="AB22" s="268">
        <f t="shared" si="2"/>
        <v>-1.1406409294343809E-2</v>
      </c>
      <c r="AC22" s="259">
        <f t="shared" si="3"/>
        <v>3.146055656173858E-2</v>
      </c>
      <c r="AD22" s="260">
        <f>HLOOKUP(Lent02v!$X$2,Populiacija!$B$1:$BB$20,19,FALSE)</f>
        <v>15261</v>
      </c>
      <c r="AE22" s="261">
        <f>HLOOKUP(Lent02m!$X$2,Populiacija!$B$1:$BB$40,40,FALSE)</f>
        <v>49298</v>
      </c>
    </row>
    <row r="23" spans="1:31">
      <c r="A23" s="31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234"/>
      <c r="M23" s="235"/>
      <c r="N23" s="235"/>
      <c r="O23" s="235"/>
      <c r="P23" s="235"/>
      <c r="Q23" s="235"/>
      <c r="R23" s="239"/>
      <c r="S23" s="239"/>
      <c r="T23" s="236"/>
      <c r="U23" s="235"/>
      <c r="V23" s="31"/>
      <c r="W23" s="262" t="s">
        <v>248</v>
      </c>
      <c r="X23" s="263"/>
      <c r="Y23" s="263"/>
      <c r="Z23" s="264">
        <v>-1593664</v>
      </c>
      <c r="AA23" s="265">
        <v>1785753</v>
      </c>
      <c r="AB23" s="262"/>
      <c r="AC23" s="263"/>
      <c r="AD23" s="264">
        <f>-Populiacija!AM20</f>
        <v>-1337932</v>
      </c>
      <c r="AE23" s="265">
        <f>Populiacija!AM41</f>
        <v>1566978</v>
      </c>
    </row>
    <row r="24" spans="1:31" ht="13.5" thickBot="1">
      <c r="A24" s="31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240"/>
      <c r="M24" s="241"/>
      <c r="N24" s="241"/>
      <c r="O24" s="241"/>
      <c r="P24" s="241"/>
      <c r="Q24" s="241"/>
      <c r="R24" s="242"/>
      <c r="S24" s="242"/>
      <c r="T24" s="243"/>
      <c r="U24" s="235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>
      <c r="A25" s="31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235"/>
      <c r="M25" s="235"/>
      <c r="N25" s="235"/>
      <c r="O25" s="235"/>
      <c r="P25" s="235"/>
      <c r="Q25" s="235"/>
      <c r="R25" s="239"/>
      <c r="S25" s="239"/>
      <c r="T25" s="235"/>
      <c r="U25" s="235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>
      <c r="A26" s="31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235"/>
      <c r="M26" s="235"/>
      <c r="N26" s="235"/>
      <c r="O26" s="235"/>
      <c r="P26" s="235"/>
      <c r="Q26" s="235"/>
      <c r="R26" s="244"/>
      <c r="S26" s="244"/>
      <c r="T26" s="235"/>
      <c r="U26" s="235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13.5" thickBot="1">
      <c r="A27" s="31"/>
      <c r="B27" s="78"/>
      <c r="C27" s="78"/>
      <c r="D27" s="78"/>
      <c r="E27" s="78"/>
      <c r="F27" s="78"/>
      <c r="G27" s="78"/>
      <c r="H27" s="31"/>
      <c r="I27" s="31"/>
      <c r="J27" s="31"/>
      <c r="K27" s="31"/>
      <c r="L27" s="251"/>
      <c r="M27" s="251"/>
      <c r="N27" s="251"/>
      <c r="O27" s="251"/>
      <c r="P27" s="251"/>
      <c r="Q27" s="251"/>
      <c r="R27" s="251"/>
      <c r="S27" s="251"/>
      <c r="T27" s="25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ht="13.5" thickBot="1">
      <c r="A28" s="31"/>
      <c r="B28" s="78"/>
      <c r="C28" s="315" t="s">
        <v>446</v>
      </c>
      <c r="D28" s="499" t="s">
        <v>429</v>
      </c>
      <c r="E28" s="501">
        <v>2015</v>
      </c>
      <c r="F28" s="502"/>
      <c r="G28" s="78"/>
      <c r="H28" s="31"/>
      <c r="I28" s="31"/>
      <c r="J28" s="31"/>
      <c r="K28" s="31"/>
      <c r="L28" s="251"/>
      <c r="M28" s="251"/>
      <c r="N28" s="31"/>
      <c r="O28" s="31"/>
      <c r="P28" s="31"/>
      <c r="Q28" s="31"/>
      <c r="R28" s="31"/>
      <c r="S28" s="251"/>
      <c r="T28" s="25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ht="13.5" customHeight="1" thickBot="1">
      <c r="A29" s="31"/>
      <c r="B29" s="78"/>
      <c r="C29" s="315" t="s">
        <v>616</v>
      </c>
      <c r="D29" s="500"/>
      <c r="E29" s="248" t="s">
        <v>247</v>
      </c>
      <c r="F29" s="248" t="s">
        <v>430</v>
      </c>
      <c r="G29" s="78"/>
      <c r="H29" s="31"/>
      <c r="I29" s="31"/>
      <c r="J29" s="31"/>
      <c r="K29" s="31"/>
      <c r="L29" s="25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ht="13.5" thickBot="1">
      <c r="A30" s="31"/>
      <c r="B30" s="78"/>
      <c r="C30" s="78"/>
      <c r="D30" s="249" t="s">
        <v>427</v>
      </c>
      <c r="E30" s="250">
        <f>Populiacija!AM20</f>
        <v>1337932</v>
      </c>
      <c r="F30" s="250">
        <f>Populiacija!AM41</f>
        <v>1566978</v>
      </c>
      <c r="G30" s="78"/>
      <c r="H30" s="31"/>
      <c r="I30" s="31"/>
      <c r="J30" s="31"/>
      <c r="K30" s="31"/>
      <c r="L30" s="25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ht="13.5" thickBot="1">
      <c r="A31" s="31"/>
      <c r="B31" s="78"/>
      <c r="C31" s="78"/>
      <c r="D31" s="249" t="s">
        <v>301</v>
      </c>
      <c r="E31" s="250">
        <f>Populiacija!AM2</f>
        <v>77411</v>
      </c>
      <c r="F31" s="250">
        <f>Populiacija!AM23</f>
        <v>73573</v>
      </c>
      <c r="G31" s="78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ht="13.5" thickBot="1">
      <c r="A32" s="31"/>
      <c r="B32" s="78"/>
      <c r="C32" s="78"/>
      <c r="D32" s="249" t="s">
        <v>302</v>
      </c>
      <c r="E32" s="250">
        <f>Populiacija!AM3</f>
        <v>71269</v>
      </c>
      <c r="F32" s="250">
        <f>Populiacija!AM24</f>
        <v>68112</v>
      </c>
      <c r="G32" s="78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ht="13.5" thickBot="1">
      <c r="A33" s="31"/>
      <c r="B33" s="78"/>
      <c r="C33" s="78"/>
      <c r="D33" s="249" t="s">
        <v>303</v>
      </c>
      <c r="E33" s="250">
        <f>Populiacija!AM4</f>
        <v>68846</v>
      </c>
      <c r="F33" s="250">
        <f>Populiacija!AM25</f>
        <v>65394</v>
      </c>
      <c r="G33" s="78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ht="13.5" thickBot="1">
      <c r="A34" s="31"/>
      <c r="B34" s="78"/>
      <c r="C34" s="78"/>
      <c r="D34" s="249" t="s">
        <v>304</v>
      </c>
      <c r="E34" s="250">
        <f>Populiacija!AM5</f>
        <v>85448</v>
      </c>
      <c r="F34" s="250">
        <f>Populiacija!AM26</f>
        <v>80822</v>
      </c>
      <c r="G34" s="78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ht="13.5" thickBot="1">
      <c r="A35" s="31"/>
      <c r="B35" s="78"/>
      <c r="C35" s="78"/>
      <c r="D35" s="249" t="s">
        <v>305</v>
      </c>
      <c r="E35" s="250">
        <f>Populiacija!AM6</f>
        <v>103455</v>
      </c>
      <c r="F35" s="250">
        <f>Populiacija!AM27</f>
        <v>98060</v>
      </c>
      <c r="G35" s="78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ht="13.5" thickBot="1">
      <c r="A36" s="31"/>
      <c r="B36" s="78"/>
      <c r="C36" s="78"/>
      <c r="D36" s="249" t="s">
        <v>306</v>
      </c>
      <c r="E36" s="250">
        <f>Populiacija!AM7</f>
        <v>100471</v>
      </c>
      <c r="F36" s="250">
        <f>Populiacija!AM28</f>
        <v>95144</v>
      </c>
      <c r="G36" s="78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ht="13.5" thickBot="1">
      <c r="A37" s="31"/>
      <c r="B37" s="78"/>
      <c r="C37" s="78"/>
      <c r="D37" s="249" t="s">
        <v>307</v>
      </c>
      <c r="E37" s="250">
        <f>Populiacija!AM8</f>
        <v>90329</v>
      </c>
      <c r="F37" s="250">
        <f>Populiacija!AM29</f>
        <v>87782</v>
      </c>
      <c r="G37" s="78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ht="13.5" thickBot="1">
      <c r="A38" s="31"/>
      <c r="B38" s="78"/>
      <c r="C38" s="78"/>
      <c r="D38" s="249" t="s">
        <v>308</v>
      </c>
      <c r="E38" s="250">
        <f>Populiacija!AM9</f>
        <v>87159</v>
      </c>
      <c r="F38" s="250">
        <f>Populiacija!AM30</f>
        <v>89193</v>
      </c>
      <c r="G38" s="78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ht="13.5" thickBot="1">
      <c r="A39" s="31"/>
      <c r="B39" s="78"/>
      <c r="C39" s="78"/>
      <c r="D39" s="249" t="s">
        <v>309</v>
      </c>
      <c r="E39" s="250">
        <f>Populiacija!AM10</f>
        <v>95371</v>
      </c>
      <c r="F39" s="250">
        <f>Populiacija!AM31</f>
        <v>102361</v>
      </c>
      <c r="G39" s="78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ht="13.5" thickBot="1">
      <c r="A40" s="31"/>
      <c r="B40" s="78"/>
      <c r="C40" s="78"/>
      <c r="D40" s="249" t="s">
        <v>310</v>
      </c>
      <c r="E40" s="250">
        <f>Populiacija!AM11</f>
        <v>98989</v>
      </c>
      <c r="F40" s="250">
        <f>Populiacija!AM32</f>
        <v>108831</v>
      </c>
      <c r="G40" s="78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ht="13.5" thickBot="1">
      <c r="A41" s="31"/>
      <c r="B41" s="78"/>
      <c r="C41" s="78"/>
      <c r="D41" s="249" t="s">
        <v>311</v>
      </c>
      <c r="E41" s="250">
        <f>Populiacija!AM12</f>
        <v>105736</v>
      </c>
      <c r="F41" s="250">
        <f>Populiacija!AM33</f>
        <v>119456</v>
      </c>
      <c r="G41" s="78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ht="13.5" thickBot="1">
      <c r="A42" s="31"/>
      <c r="B42" s="78"/>
      <c r="C42" s="78"/>
      <c r="D42" s="249" t="s">
        <v>312</v>
      </c>
      <c r="E42" s="250">
        <f>Populiacija!AM13</f>
        <v>96361</v>
      </c>
      <c r="F42" s="250">
        <f>Populiacija!AM34</f>
        <v>116878</v>
      </c>
      <c r="G42" s="78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ht="13.5" thickBot="1">
      <c r="A43" s="31"/>
      <c r="B43" s="78"/>
      <c r="C43" s="78"/>
      <c r="D43" s="249" t="s">
        <v>431</v>
      </c>
      <c r="E43" s="250">
        <f>Populiacija!AM14</f>
        <v>72856</v>
      </c>
      <c r="F43" s="250">
        <f>Populiacija!AM35</f>
        <v>97783</v>
      </c>
      <c r="G43" s="78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1" ht="13.5" thickBot="1">
      <c r="A44" s="31"/>
      <c r="B44" s="78"/>
      <c r="C44" s="78"/>
      <c r="D44" s="249" t="s">
        <v>160</v>
      </c>
      <c r="E44" s="250">
        <f>Populiacija!AM15</f>
        <v>57241</v>
      </c>
      <c r="F44" s="250">
        <f>Populiacija!AM36</f>
        <v>88018</v>
      </c>
      <c r="G44" s="78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1:31" ht="13.5" thickBot="1">
      <c r="A45" s="31"/>
      <c r="B45" s="78"/>
      <c r="C45" s="78"/>
      <c r="D45" s="249" t="s">
        <v>314</v>
      </c>
      <c r="E45" s="250">
        <f>Populiacija!AM16</f>
        <v>47318</v>
      </c>
      <c r="F45" s="250">
        <f>Populiacija!AM37</f>
        <v>84213</v>
      </c>
      <c r="G45" s="78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1:31" ht="13.5" thickBot="1">
      <c r="A46" s="31"/>
      <c r="B46" s="78"/>
      <c r="C46" s="78"/>
      <c r="D46" s="249" t="s">
        <v>315</v>
      </c>
      <c r="E46" s="250">
        <f>Populiacija!AM17</f>
        <v>39525</v>
      </c>
      <c r="F46" s="250">
        <f>Populiacija!AM38</f>
        <v>81014</v>
      </c>
      <c r="G46" s="78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ht="13.5" thickBot="1">
      <c r="A47" s="31"/>
      <c r="B47" s="78"/>
      <c r="C47" s="78"/>
      <c r="D47" s="249" t="s">
        <v>316</v>
      </c>
      <c r="E47" s="250">
        <f>Populiacija!AM18</f>
        <v>24886</v>
      </c>
      <c r="F47" s="250">
        <f>Populiacija!AM39</f>
        <v>61046</v>
      </c>
      <c r="G47" s="78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ht="13.5" thickBot="1">
      <c r="A48" s="31"/>
      <c r="B48" s="78"/>
      <c r="C48" s="78"/>
      <c r="D48" s="249" t="s">
        <v>317</v>
      </c>
      <c r="E48" s="250">
        <f>Populiacija!AM19</f>
        <v>15261</v>
      </c>
      <c r="F48" s="250">
        <f>Populiacija!AM40</f>
        <v>49298</v>
      </c>
      <c r="G48" s="78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>
      <c r="A49" s="31"/>
      <c r="B49" s="78"/>
      <c r="C49" s="78"/>
      <c r="D49" s="78"/>
      <c r="E49" s="78"/>
      <c r="F49" s="78"/>
      <c r="G49" s="78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3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3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1:3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3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</sheetData>
  <mergeCells count="6">
    <mergeCell ref="X3:AA3"/>
    <mergeCell ref="AB3:AE3"/>
    <mergeCell ref="D28:D29"/>
    <mergeCell ref="E28:F28"/>
    <mergeCell ref="W1:Y1"/>
    <mergeCell ref="AA1:AC1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6" tint="0.39997558519241921"/>
  </sheetPr>
  <dimension ref="A1:AE44"/>
  <sheetViews>
    <sheetView zoomScaleNormal="100" workbookViewId="0">
      <selection activeCell="E1" sqref="E1"/>
    </sheetView>
  </sheetViews>
  <sheetFormatPr defaultRowHeight="12.75"/>
  <cols>
    <col min="1" max="1" width="6.7109375" customWidth="1"/>
    <col min="2" max="2" width="0.140625" customWidth="1"/>
    <col min="3" max="6" width="7.7109375" customWidth="1"/>
    <col min="7" max="7" width="4.7109375" customWidth="1"/>
    <col min="8" max="8" width="10.7109375" customWidth="1"/>
    <col min="9" max="9" width="7.7109375" customWidth="1"/>
    <col min="10" max="10" width="0.85546875" customWidth="1"/>
    <col min="11" max="11" width="2.7109375" customWidth="1"/>
    <col min="12" max="12" width="0.85546875" customWidth="1"/>
    <col min="13" max="16" width="7.7109375" customWidth="1"/>
    <col min="17" max="17" width="4.7109375" customWidth="1"/>
    <col min="18" max="18" width="10.7109375" customWidth="1"/>
    <col min="19" max="19" width="7.7109375" customWidth="1"/>
    <col min="20" max="20" width="0.140625" customWidth="1"/>
    <col min="21" max="21" width="7.7109375" customWidth="1"/>
    <col min="22" max="22" width="9.140625" style="221"/>
    <col min="23" max="23" width="27.85546875" style="221" bestFit="1" customWidth="1"/>
    <col min="24" max="24" width="6" style="221" bestFit="1" customWidth="1"/>
    <col min="25" max="25" width="5.7109375" style="221" bestFit="1" customWidth="1"/>
    <col min="26" max="26" width="8.5703125" style="221" bestFit="1" customWidth="1"/>
    <col min="27" max="27" width="24" style="221" bestFit="1" customWidth="1"/>
    <col min="28" max="28" width="5" style="221" bestFit="1" customWidth="1"/>
    <col min="29" max="29" width="5.7109375" style="221" bestFit="1" customWidth="1"/>
    <col min="30" max="30" width="9.140625" style="221"/>
    <col min="31" max="31" width="9.42578125" style="221" bestFit="1" customWidth="1"/>
  </cols>
  <sheetData>
    <row r="1" spans="1:31" ht="20.100000000000001" customHeight="1">
      <c r="A1" s="253"/>
      <c r="B1" s="253"/>
      <c r="C1" s="253"/>
      <c r="D1" s="31"/>
      <c r="E1" s="253" t="s">
        <v>633</v>
      </c>
      <c r="F1" s="31"/>
      <c r="G1" s="255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52"/>
      <c r="W1" s="504" t="s">
        <v>475</v>
      </c>
      <c r="X1" s="504"/>
      <c r="Y1" s="504"/>
      <c r="Z1" s="352"/>
      <c r="AA1" s="504" t="s">
        <v>478</v>
      </c>
      <c r="AB1" s="504"/>
      <c r="AC1" s="504"/>
      <c r="AD1" s="352"/>
      <c r="AE1" s="352"/>
    </row>
    <row r="2" spans="1:31" ht="20.100000000000001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352"/>
      <c r="W2" s="352" t="s">
        <v>26</v>
      </c>
      <c r="X2" s="352">
        <v>5190</v>
      </c>
      <c r="Y2" s="367">
        <v>0.29308786988931557</v>
      </c>
      <c r="Z2" s="352"/>
      <c r="AA2" s="352" t="s">
        <v>26</v>
      </c>
      <c r="AB2" s="352">
        <v>842</v>
      </c>
      <c r="AC2" s="367">
        <v>0.29358437935843795</v>
      </c>
      <c r="AD2" s="352"/>
      <c r="AE2" s="352"/>
    </row>
    <row r="3" spans="1:31" ht="24.95" customHeight="1">
      <c r="A3" s="78"/>
      <c r="B3" s="78"/>
      <c r="C3" s="505" t="str">
        <f>W1</f>
        <v>Vyrai ir moterys, visos amžiaus grupės (17708 atv.)</v>
      </c>
      <c r="D3" s="505"/>
      <c r="E3" s="505"/>
      <c r="F3" s="505"/>
      <c r="G3" s="505"/>
      <c r="H3" s="505"/>
      <c r="I3" s="505"/>
      <c r="J3" s="210"/>
      <c r="K3" s="78"/>
      <c r="L3" s="78"/>
      <c r="M3" s="505" t="str">
        <f>AA1</f>
        <v>Vyrai ir moterys, 30-54 metų (2868 atv.)</v>
      </c>
      <c r="N3" s="505"/>
      <c r="O3" s="505"/>
      <c r="P3" s="505"/>
      <c r="Q3" s="505"/>
      <c r="R3" s="505"/>
      <c r="S3" s="505"/>
      <c r="T3" s="78"/>
      <c r="U3" s="78"/>
      <c r="V3" s="352"/>
      <c r="W3" s="352" t="s">
        <v>219</v>
      </c>
      <c r="X3" s="352">
        <v>531</v>
      </c>
      <c r="Y3" s="367">
        <v>2.998644680370454E-2</v>
      </c>
      <c r="Z3" s="352"/>
      <c r="AA3" s="352" t="s">
        <v>211</v>
      </c>
      <c r="AB3" s="352">
        <v>98</v>
      </c>
      <c r="AC3" s="367">
        <v>3.4170153417015341E-2</v>
      </c>
      <c r="AD3" s="352"/>
      <c r="AE3" s="352"/>
    </row>
    <row r="4" spans="1:31" ht="20.100000000000001" customHeight="1">
      <c r="A4" s="78"/>
      <c r="B4" s="78"/>
      <c r="C4" s="78"/>
      <c r="D4" s="78"/>
      <c r="E4" s="78"/>
      <c r="F4" s="78"/>
      <c r="G4" s="78"/>
      <c r="H4" s="78"/>
      <c r="I4" s="80" t="str">
        <f>W12</f>
        <v>Priešinės liaukos</v>
      </c>
      <c r="J4" s="80"/>
      <c r="K4" s="78"/>
      <c r="L4" s="78"/>
      <c r="M4" s="78"/>
      <c r="N4" s="78"/>
      <c r="O4" s="78"/>
      <c r="P4" s="78"/>
      <c r="Q4" s="78"/>
      <c r="R4" s="78"/>
      <c r="S4" s="80" t="str">
        <f>AA12</f>
        <v>Krūties</v>
      </c>
      <c r="T4" s="78"/>
      <c r="U4" s="78"/>
      <c r="V4" s="352"/>
      <c r="W4" s="352" t="s">
        <v>233</v>
      </c>
      <c r="X4" s="352">
        <v>615</v>
      </c>
      <c r="Y4" s="367">
        <v>3.473006550711543E-2</v>
      </c>
      <c r="Z4" s="352"/>
      <c r="AA4" s="352" t="s">
        <v>213</v>
      </c>
      <c r="AB4" s="352">
        <v>106</v>
      </c>
      <c r="AC4" s="367">
        <v>3.6959553695955369E-2</v>
      </c>
      <c r="AD4" s="352"/>
      <c r="AE4" s="352"/>
    </row>
    <row r="5" spans="1:31" ht="20.100000000000001" customHeight="1">
      <c r="A5" s="78"/>
      <c r="B5" s="78"/>
      <c r="C5" s="78"/>
      <c r="D5" s="78"/>
      <c r="E5" s="78"/>
      <c r="F5" s="78"/>
      <c r="G5" s="78"/>
      <c r="H5" s="78"/>
      <c r="I5" s="80" t="str">
        <f>W11</f>
        <v>Kiti odos piktybiniai navikai</v>
      </c>
      <c r="J5" s="80"/>
      <c r="K5" s="78"/>
      <c r="L5" s="78"/>
      <c r="M5" s="78"/>
      <c r="N5" s="78"/>
      <c r="O5" s="78"/>
      <c r="P5" s="78"/>
      <c r="Q5" s="78"/>
      <c r="R5" s="78"/>
      <c r="S5" s="80" t="str">
        <f>AA11</f>
        <v>Kiti odos piktybiniai navikai</v>
      </c>
      <c r="T5" s="78"/>
      <c r="U5" s="78"/>
      <c r="V5" s="352"/>
      <c r="W5" s="352" t="s">
        <v>212</v>
      </c>
      <c r="X5" s="352">
        <v>621</v>
      </c>
      <c r="Y5" s="367">
        <v>3.5068895414501922E-2</v>
      </c>
      <c r="Z5" s="352"/>
      <c r="AA5" s="352" t="s">
        <v>215</v>
      </c>
      <c r="AB5" s="352">
        <v>107</v>
      </c>
      <c r="AC5" s="367">
        <v>3.7308228730822873E-2</v>
      </c>
      <c r="AD5" s="352"/>
      <c r="AE5" s="352"/>
    </row>
    <row r="6" spans="1:31" ht="20.100000000000001" customHeight="1">
      <c r="A6" s="78"/>
      <c r="B6" s="78"/>
      <c r="C6" s="78"/>
      <c r="D6" s="78"/>
      <c r="E6" s="78"/>
      <c r="F6" s="78"/>
      <c r="G6" s="78"/>
      <c r="H6" s="78"/>
      <c r="I6" s="80" t="str">
        <f>W10</f>
        <v>Krūties</v>
      </c>
      <c r="J6" s="80"/>
      <c r="K6" s="78"/>
      <c r="L6" s="78"/>
      <c r="M6" s="78"/>
      <c r="N6" s="78"/>
      <c r="O6" s="78"/>
      <c r="P6" s="78"/>
      <c r="Q6" s="78"/>
      <c r="R6" s="78"/>
      <c r="S6" s="80" t="str">
        <f>AA10</f>
        <v>Priešinės liaukos</v>
      </c>
      <c r="T6" s="78"/>
      <c r="U6" s="78"/>
      <c r="V6" s="352"/>
      <c r="W6" s="352" t="s">
        <v>213</v>
      </c>
      <c r="X6" s="352">
        <v>719</v>
      </c>
      <c r="Y6" s="367">
        <v>4.0603117235147958E-2</v>
      </c>
      <c r="Z6" s="352"/>
      <c r="AA6" s="352" t="s">
        <v>233</v>
      </c>
      <c r="AB6" s="352">
        <v>135</v>
      </c>
      <c r="AC6" s="367">
        <v>4.7071129707112969E-2</v>
      </c>
      <c r="AD6" s="352"/>
      <c r="AE6" s="352"/>
    </row>
    <row r="7" spans="1:31" ht="20.100000000000001" customHeight="1">
      <c r="A7" s="78"/>
      <c r="B7" s="78"/>
      <c r="C7" s="78"/>
      <c r="D7" s="78"/>
      <c r="E7" s="78"/>
      <c r="F7" s="78"/>
      <c r="G7" s="78"/>
      <c r="H7" s="78"/>
      <c r="I7" s="80" t="str">
        <f>W9</f>
        <v>Plaučių, trachėjos, bronchų</v>
      </c>
      <c r="J7" s="80"/>
      <c r="K7" s="78"/>
      <c r="L7" s="78"/>
      <c r="M7" s="78"/>
      <c r="N7" s="78"/>
      <c r="O7" s="78"/>
      <c r="P7" s="78"/>
      <c r="Q7" s="78"/>
      <c r="R7" s="78"/>
      <c r="S7" s="80" t="str">
        <f>AA9</f>
        <v>Gimdos kaklelio</v>
      </c>
      <c r="T7" s="78"/>
      <c r="U7" s="78"/>
      <c r="V7" s="352"/>
      <c r="W7" s="352" t="s">
        <v>215</v>
      </c>
      <c r="X7" s="352">
        <v>806</v>
      </c>
      <c r="Y7" s="367">
        <v>4.551615089225209E-2</v>
      </c>
      <c r="Z7" s="352"/>
      <c r="AA7" s="352" t="s">
        <v>222</v>
      </c>
      <c r="AB7" s="352">
        <v>153</v>
      </c>
      <c r="AC7" s="367">
        <v>5.3347280334728034E-2</v>
      </c>
      <c r="AD7" s="352"/>
      <c r="AE7" s="352"/>
    </row>
    <row r="8" spans="1:31" ht="20.100000000000001" customHeight="1">
      <c r="A8" s="78"/>
      <c r="B8" s="78"/>
      <c r="C8" s="78"/>
      <c r="D8" s="78"/>
      <c r="E8" s="78"/>
      <c r="F8" s="78"/>
      <c r="G8" s="78"/>
      <c r="H8" s="78"/>
      <c r="I8" s="80" t="str">
        <f>W8</f>
        <v>Gaubtinės žarnos</v>
      </c>
      <c r="J8" s="80"/>
      <c r="K8" s="78"/>
      <c r="L8" s="78"/>
      <c r="M8" s="78"/>
      <c r="N8" s="78"/>
      <c r="O8" s="78"/>
      <c r="P8" s="78"/>
      <c r="Q8" s="78"/>
      <c r="R8" s="78"/>
      <c r="S8" s="80" t="str">
        <f>AA8</f>
        <v>Plaučių, trachėjos, bronchų</v>
      </c>
      <c r="T8" s="78"/>
      <c r="U8" s="78"/>
      <c r="V8" s="352"/>
      <c r="W8" s="352" t="s">
        <v>214</v>
      </c>
      <c r="X8" s="352">
        <v>875</v>
      </c>
      <c r="Y8" s="367">
        <v>4.9412694827196749E-2</v>
      </c>
      <c r="Z8" s="352"/>
      <c r="AA8" s="352" t="s">
        <v>217</v>
      </c>
      <c r="AB8" s="352">
        <v>154</v>
      </c>
      <c r="AC8" s="367">
        <v>5.3695955369595538E-2</v>
      </c>
      <c r="AD8" s="352"/>
      <c r="AE8" s="352"/>
    </row>
    <row r="9" spans="1:31" ht="20.100000000000001" customHeight="1">
      <c r="A9" s="78"/>
      <c r="B9" s="78"/>
      <c r="C9" s="78"/>
      <c r="D9" s="78"/>
      <c r="E9" s="78"/>
      <c r="F9" s="78"/>
      <c r="G9" s="78"/>
      <c r="H9" s="78"/>
      <c r="I9" s="80" t="str">
        <f>W7</f>
        <v>Skrandžio</v>
      </c>
      <c r="J9" s="80"/>
      <c r="K9" s="78"/>
      <c r="L9" s="78"/>
      <c r="M9" s="78"/>
      <c r="N9" s="78"/>
      <c r="O9" s="78"/>
      <c r="P9" s="78"/>
      <c r="Q9" s="78"/>
      <c r="R9" s="78"/>
      <c r="S9" s="80" t="str">
        <f>AA7</f>
        <v>Skydliaukės</v>
      </c>
      <c r="T9" s="78"/>
      <c r="U9" s="78"/>
      <c r="V9" s="352"/>
      <c r="W9" s="352" t="s">
        <v>217</v>
      </c>
      <c r="X9" s="352">
        <v>1501</v>
      </c>
      <c r="Y9" s="367">
        <v>8.4763948497854083E-2</v>
      </c>
      <c r="Z9" s="352"/>
      <c r="AA9" s="352" t="s">
        <v>232</v>
      </c>
      <c r="AB9" s="352">
        <v>171</v>
      </c>
      <c r="AC9" s="367">
        <v>5.9623430962343099E-2</v>
      </c>
      <c r="AD9" s="352"/>
      <c r="AE9" s="352"/>
    </row>
    <row r="10" spans="1:31" ht="20.100000000000001" customHeight="1">
      <c r="A10" s="78"/>
      <c r="B10" s="78"/>
      <c r="C10" s="78"/>
      <c r="D10" s="78"/>
      <c r="E10" s="78"/>
      <c r="F10" s="78"/>
      <c r="G10" s="78"/>
      <c r="H10" s="78"/>
      <c r="I10" s="80" t="str">
        <f>W6</f>
        <v>Inkstų</v>
      </c>
      <c r="J10" s="80"/>
      <c r="K10" s="78"/>
      <c r="L10" s="78"/>
      <c r="M10" s="78"/>
      <c r="N10" s="78"/>
      <c r="O10" s="78"/>
      <c r="P10" s="78"/>
      <c r="Q10" s="78"/>
      <c r="R10" s="78"/>
      <c r="S10" s="80" t="str">
        <f>AA6</f>
        <v>Gimdos kūno</v>
      </c>
      <c r="T10" s="78"/>
      <c r="U10" s="78"/>
      <c r="V10" s="352"/>
      <c r="W10" s="352" t="s">
        <v>234</v>
      </c>
      <c r="X10" s="352">
        <v>1646</v>
      </c>
      <c r="Y10" s="367">
        <v>9.295233792636097E-2</v>
      </c>
      <c r="Z10" s="352"/>
      <c r="AA10" s="352" t="s">
        <v>218</v>
      </c>
      <c r="AB10" s="352">
        <v>280</v>
      </c>
      <c r="AC10" s="367">
        <v>9.7629009762900981E-2</v>
      </c>
      <c r="AD10" s="352"/>
      <c r="AE10" s="352"/>
    </row>
    <row r="11" spans="1:31" ht="20.100000000000001" customHeight="1">
      <c r="A11" s="78"/>
      <c r="B11" s="78"/>
      <c r="C11" s="78"/>
      <c r="D11" s="78"/>
      <c r="E11" s="78"/>
      <c r="F11" s="78"/>
      <c r="G11" s="78"/>
      <c r="H11" s="78"/>
      <c r="I11" s="80" t="str">
        <f>W5</f>
        <v>Tiesiosios žarnos, išangės</v>
      </c>
      <c r="J11" s="80"/>
      <c r="K11" s="78"/>
      <c r="L11" s="78"/>
      <c r="M11" s="78"/>
      <c r="N11" s="78"/>
      <c r="O11" s="78"/>
      <c r="P11" s="78"/>
      <c r="Q11" s="78"/>
      <c r="R11" s="78"/>
      <c r="S11" s="80" t="str">
        <f>AA5</f>
        <v>Skrandžio</v>
      </c>
      <c r="T11" s="78"/>
      <c r="U11" s="78"/>
      <c r="V11" s="352"/>
      <c r="W11" s="352" t="s">
        <v>216</v>
      </c>
      <c r="X11" s="352">
        <v>2237</v>
      </c>
      <c r="Y11" s="367">
        <v>0.12632708380393043</v>
      </c>
      <c r="Z11" s="352"/>
      <c r="AA11" s="352" t="s">
        <v>216</v>
      </c>
      <c r="AB11" s="352">
        <v>285</v>
      </c>
      <c r="AC11" s="367">
        <v>9.9372384937238489E-2</v>
      </c>
      <c r="AD11" s="352"/>
      <c r="AE11" s="352"/>
    </row>
    <row r="12" spans="1:31" ht="20.100000000000001" customHeight="1">
      <c r="A12" s="78"/>
      <c r="B12" s="78"/>
      <c r="C12" s="78"/>
      <c r="D12" s="78"/>
      <c r="E12" s="78"/>
      <c r="F12" s="78"/>
      <c r="G12" s="78"/>
      <c r="H12" s="78"/>
      <c r="I12" s="80" t="str">
        <f>W4</f>
        <v>Gimdos kūno</v>
      </c>
      <c r="J12" s="80"/>
      <c r="K12" s="78"/>
      <c r="L12" s="78"/>
      <c r="M12" s="78"/>
      <c r="N12" s="78"/>
      <c r="O12" s="78"/>
      <c r="P12" s="78"/>
      <c r="Q12" s="78"/>
      <c r="R12" s="78"/>
      <c r="S12" s="80" t="str">
        <f>AA4</f>
        <v>Inkstų</v>
      </c>
      <c r="T12" s="78"/>
      <c r="U12" s="78"/>
      <c r="V12" s="352"/>
      <c r="W12" s="352" t="s">
        <v>218</v>
      </c>
      <c r="X12" s="352">
        <v>2967</v>
      </c>
      <c r="Y12" s="367">
        <v>0.16755138920262028</v>
      </c>
      <c r="Z12" s="352"/>
      <c r="AA12" s="352" t="s">
        <v>234</v>
      </c>
      <c r="AB12" s="352">
        <v>537</v>
      </c>
      <c r="AC12" s="367">
        <v>0.18723849372384938</v>
      </c>
      <c r="AD12" s="352"/>
      <c r="AE12" s="352"/>
    </row>
    <row r="13" spans="1:31" ht="20.100000000000001" customHeight="1">
      <c r="A13" s="78"/>
      <c r="B13" s="78"/>
      <c r="C13" s="78"/>
      <c r="D13" s="78"/>
      <c r="E13" s="78"/>
      <c r="F13" s="78"/>
      <c r="G13" s="78"/>
      <c r="H13" s="78"/>
      <c r="I13" s="80" t="str">
        <f>W3</f>
        <v>Kasos</v>
      </c>
      <c r="J13" s="80"/>
      <c r="K13" s="78"/>
      <c r="L13" s="78"/>
      <c r="M13" s="78"/>
      <c r="N13" s="78"/>
      <c r="O13" s="78"/>
      <c r="P13" s="78"/>
      <c r="Q13" s="78"/>
      <c r="R13" s="78"/>
      <c r="S13" s="80" t="str">
        <f>AA3</f>
        <v>Burnos ertmės ir ryklės</v>
      </c>
      <c r="T13" s="78"/>
      <c r="U13" s="78"/>
      <c r="V13" s="352"/>
      <c r="W13" s="389" t="s">
        <v>210</v>
      </c>
      <c r="X13" s="352">
        <v>17708</v>
      </c>
      <c r="Y13" s="367">
        <v>1</v>
      </c>
      <c r="Z13" s="352"/>
      <c r="AA13" s="389" t="s">
        <v>210</v>
      </c>
      <c r="AB13" s="352">
        <v>2868</v>
      </c>
      <c r="AC13" s="367">
        <v>1</v>
      </c>
      <c r="AD13" s="352"/>
      <c r="AE13" s="352"/>
    </row>
    <row r="14" spans="1:31" ht="20.100000000000001" customHeight="1">
      <c r="A14" s="78"/>
      <c r="B14" s="78"/>
      <c r="C14" s="78"/>
      <c r="D14" s="78"/>
      <c r="E14" s="78"/>
      <c r="F14" s="78"/>
      <c r="G14" s="78"/>
      <c r="H14" s="78"/>
      <c r="I14" s="80" t="str">
        <f>W2</f>
        <v>Kiti</v>
      </c>
      <c r="J14" s="80"/>
      <c r="K14" s="78"/>
      <c r="L14" s="78"/>
      <c r="M14" s="78"/>
      <c r="N14" s="78"/>
      <c r="O14" s="78"/>
      <c r="P14" s="78"/>
      <c r="Q14" s="78"/>
      <c r="R14" s="78"/>
      <c r="S14" s="80" t="str">
        <f>AA2</f>
        <v>Kiti</v>
      </c>
      <c r="T14" s="78"/>
      <c r="U14" s="78"/>
      <c r="V14" s="352"/>
      <c r="W14" s="504" t="s">
        <v>476</v>
      </c>
      <c r="X14" s="504"/>
      <c r="Y14" s="504"/>
      <c r="Z14" s="352"/>
      <c r="AA14" s="504" t="s">
        <v>479</v>
      </c>
      <c r="AB14" s="504"/>
      <c r="AC14" s="504"/>
      <c r="AD14" s="352"/>
      <c r="AE14" s="352"/>
    </row>
    <row r="15" spans="1:31" ht="24.9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352"/>
      <c r="W15" s="352" t="s">
        <v>26</v>
      </c>
      <c r="X15" s="352">
        <v>3</v>
      </c>
      <c r="Y15" s="367">
        <v>4.0540540540540543E-2</v>
      </c>
      <c r="Z15" s="352"/>
      <c r="AA15" s="352" t="s">
        <v>26</v>
      </c>
      <c r="AB15" s="352">
        <v>2420</v>
      </c>
      <c r="AC15" s="390">
        <v>0.25763866709251571</v>
      </c>
      <c r="AD15" s="352"/>
      <c r="AE15" s="352"/>
    </row>
    <row r="16" spans="1:31" ht="24.95" customHeight="1">
      <c r="A16" s="78"/>
      <c r="B16" s="78"/>
      <c r="C16" s="505" t="str">
        <f>W14</f>
        <v>Vyrai ir moterys, 0-14 metų (74 atv.)</v>
      </c>
      <c r="D16" s="505"/>
      <c r="E16" s="505"/>
      <c r="F16" s="505"/>
      <c r="G16" s="505"/>
      <c r="H16" s="505"/>
      <c r="I16" s="505"/>
      <c r="J16" s="210"/>
      <c r="K16" s="78"/>
      <c r="L16" s="78"/>
      <c r="M16" s="505" t="str">
        <f>AA14</f>
        <v>Vyrai ir moterys, 55-74 metų (9393 atv.)</v>
      </c>
      <c r="N16" s="505"/>
      <c r="O16" s="505"/>
      <c r="P16" s="505"/>
      <c r="Q16" s="505"/>
      <c r="R16" s="505"/>
      <c r="S16" s="505"/>
      <c r="T16" s="78"/>
      <c r="U16" s="78"/>
      <c r="V16" s="352"/>
      <c r="W16" s="352" t="s">
        <v>443</v>
      </c>
      <c r="X16" s="352">
        <v>1</v>
      </c>
      <c r="Y16" s="367">
        <v>1.3513513513513514E-2</v>
      </c>
      <c r="Z16" s="352"/>
      <c r="AA16" s="352" t="s">
        <v>219</v>
      </c>
      <c r="AB16" s="352">
        <v>255</v>
      </c>
      <c r="AC16" s="367">
        <v>2.7147876077930375E-2</v>
      </c>
      <c r="AD16" s="352"/>
      <c r="AE16" s="352"/>
    </row>
    <row r="17" spans="1:31" ht="20.100000000000001" customHeight="1">
      <c r="A17" s="78"/>
      <c r="B17" s="78"/>
      <c r="C17" s="78"/>
      <c r="D17" s="78"/>
      <c r="E17" s="78"/>
      <c r="F17" s="78"/>
      <c r="G17" s="78"/>
      <c r="H17" s="78"/>
      <c r="I17" s="80" t="str">
        <f>W25</f>
        <v>Leukemijos</v>
      </c>
      <c r="J17" s="80"/>
      <c r="K17" s="78"/>
      <c r="L17" s="78"/>
      <c r="M17" s="78"/>
      <c r="N17" s="78"/>
      <c r="O17" s="78"/>
      <c r="P17" s="78"/>
      <c r="Q17" s="78"/>
      <c r="R17" s="78"/>
      <c r="S17" s="80" t="str">
        <f>AA25</f>
        <v>Priešinės liaukos</v>
      </c>
      <c r="T17" s="78"/>
      <c r="U17" s="78"/>
      <c r="V17" s="352"/>
      <c r="W17" s="352" t="s">
        <v>224</v>
      </c>
      <c r="X17" s="352">
        <v>1</v>
      </c>
      <c r="Y17" s="367">
        <v>1.3513513513513514E-2</v>
      </c>
      <c r="Z17" s="352"/>
      <c r="AA17" s="352" t="s">
        <v>212</v>
      </c>
      <c r="AB17" s="352">
        <v>331</v>
      </c>
      <c r="AC17" s="367">
        <v>3.5239007771744914E-2</v>
      </c>
      <c r="AD17" s="352"/>
      <c r="AE17" s="352"/>
    </row>
    <row r="18" spans="1:31" ht="20.100000000000001" customHeight="1">
      <c r="A18" s="78"/>
      <c r="B18" s="78"/>
      <c r="C18" s="78"/>
      <c r="D18" s="78"/>
      <c r="E18" s="78"/>
      <c r="F18" s="78"/>
      <c r="G18" s="78"/>
      <c r="H18" s="78"/>
      <c r="I18" s="80" t="str">
        <f>W24</f>
        <v>Smegenų</v>
      </c>
      <c r="J18" s="80"/>
      <c r="K18" s="78"/>
      <c r="L18" s="78"/>
      <c r="M18" s="78"/>
      <c r="N18" s="78"/>
      <c r="O18" s="78"/>
      <c r="P18" s="78"/>
      <c r="Q18" s="78"/>
      <c r="R18" s="78"/>
      <c r="S18" s="80" t="str">
        <f>AA24</f>
        <v>Kiti odos piktybiniai navikai</v>
      </c>
      <c r="T18" s="78"/>
      <c r="U18" s="78"/>
      <c r="V18" s="352"/>
      <c r="W18" s="352" t="s">
        <v>231</v>
      </c>
      <c r="X18" s="352">
        <v>2</v>
      </c>
      <c r="Y18" s="367">
        <v>2.7027027027027029E-2</v>
      </c>
      <c r="Z18" s="352"/>
      <c r="AA18" s="352" t="s">
        <v>233</v>
      </c>
      <c r="AB18" s="352">
        <v>336</v>
      </c>
      <c r="AC18" s="367">
        <v>3.577131906739061E-2</v>
      </c>
      <c r="AD18" s="352"/>
      <c r="AE18" s="352"/>
    </row>
    <row r="19" spans="1:31" ht="20.100000000000001" customHeight="1">
      <c r="A19" s="78"/>
      <c r="B19" s="78"/>
      <c r="C19" s="78"/>
      <c r="D19" s="78"/>
      <c r="E19" s="78"/>
      <c r="F19" s="78"/>
      <c r="G19" s="78"/>
      <c r="H19" s="78"/>
      <c r="I19" s="80" t="str">
        <f>W23</f>
        <v>Ne Hodžkino limfomos</v>
      </c>
      <c r="J19" s="80"/>
      <c r="K19" s="78"/>
      <c r="L19" s="78"/>
      <c r="M19" s="78"/>
      <c r="N19" s="78"/>
      <c r="O19" s="78"/>
      <c r="P19" s="78"/>
      <c r="Q19" s="78"/>
      <c r="R19" s="78"/>
      <c r="S19" s="80" t="str">
        <f>AA23</f>
        <v>Plaučių, trachėjos, bronchų</v>
      </c>
      <c r="T19" s="78"/>
      <c r="U19" s="78"/>
      <c r="V19" s="352"/>
      <c r="W19" s="352" t="s">
        <v>235</v>
      </c>
      <c r="X19" s="352">
        <v>3</v>
      </c>
      <c r="Y19" s="367">
        <v>4.0540540540540543E-2</v>
      </c>
      <c r="Z19" s="352"/>
      <c r="AA19" s="352" t="s">
        <v>215</v>
      </c>
      <c r="AB19" s="352">
        <v>364</v>
      </c>
      <c r="AC19" s="367">
        <v>3.8752262323006492E-2</v>
      </c>
      <c r="AD19" s="352"/>
      <c r="AE19" s="352"/>
    </row>
    <row r="20" spans="1:31" ht="20.100000000000001" customHeight="1">
      <c r="A20" s="78"/>
      <c r="B20" s="78"/>
      <c r="C20" s="78"/>
      <c r="D20" s="78"/>
      <c r="E20" s="78"/>
      <c r="F20" s="78"/>
      <c r="G20" s="78"/>
      <c r="H20" s="78"/>
      <c r="I20" s="80" t="str">
        <f>W22</f>
        <v>Inkstų</v>
      </c>
      <c r="J20" s="80"/>
      <c r="K20" s="78"/>
      <c r="L20" s="78"/>
      <c r="M20" s="78"/>
      <c r="N20" s="78"/>
      <c r="O20" s="78"/>
      <c r="P20" s="78"/>
      <c r="Q20" s="78"/>
      <c r="R20" s="78"/>
      <c r="S20" s="80" t="str">
        <f>AA22</f>
        <v>Krūties</v>
      </c>
      <c r="T20" s="78"/>
      <c r="U20" s="78"/>
      <c r="V20" s="352"/>
      <c r="W20" s="352" t="s">
        <v>223</v>
      </c>
      <c r="X20" s="352">
        <v>4</v>
      </c>
      <c r="Y20" s="367">
        <v>5.4054054054054057E-2</v>
      </c>
      <c r="Z20" s="352"/>
      <c r="AA20" s="352" t="s">
        <v>213</v>
      </c>
      <c r="AB20" s="352">
        <v>403</v>
      </c>
      <c r="AC20" s="367">
        <v>4.2904290429042903E-2</v>
      </c>
      <c r="AD20" s="352"/>
      <c r="AE20" s="352"/>
    </row>
    <row r="21" spans="1:31" ht="20.100000000000001" customHeight="1">
      <c r="A21" s="78"/>
      <c r="B21" s="78"/>
      <c r="C21" s="78"/>
      <c r="D21" s="78"/>
      <c r="E21" s="78"/>
      <c r="F21" s="78"/>
      <c r="G21" s="78"/>
      <c r="H21" s="78"/>
      <c r="I21" s="80" t="str">
        <f>W21</f>
        <v>Kaulų ir jungiamojo audinio</v>
      </c>
      <c r="J21" s="80"/>
      <c r="K21" s="78"/>
      <c r="L21" s="78"/>
      <c r="M21" s="78"/>
      <c r="N21" s="78"/>
      <c r="O21" s="78"/>
      <c r="P21" s="78"/>
      <c r="Q21" s="78"/>
      <c r="R21" s="78"/>
      <c r="S21" s="80" t="str">
        <f>AA21</f>
        <v>Gaubtinės žarnos</v>
      </c>
      <c r="T21" s="78"/>
      <c r="U21" s="78"/>
      <c r="V21" s="352"/>
      <c r="W21" s="352" t="s">
        <v>228</v>
      </c>
      <c r="X21" s="352">
        <v>7</v>
      </c>
      <c r="Y21" s="367">
        <v>9.45945945945946E-2</v>
      </c>
      <c r="Z21" s="352"/>
      <c r="AA21" s="352" t="s">
        <v>214</v>
      </c>
      <c r="AB21" s="352">
        <v>449</v>
      </c>
      <c r="AC21" s="367">
        <v>4.7801554348983283E-2</v>
      </c>
      <c r="AD21" s="352"/>
      <c r="AE21" s="352"/>
    </row>
    <row r="22" spans="1:31" ht="20.100000000000001" customHeight="1">
      <c r="A22" s="78"/>
      <c r="B22" s="78"/>
      <c r="C22" s="78"/>
      <c r="D22" s="78"/>
      <c r="E22" s="78"/>
      <c r="F22" s="78"/>
      <c r="G22" s="78"/>
      <c r="H22" s="78"/>
      <c r="I22" s="80" t="str">
        <f>W20</f>
        <v>Hodžkino limfomos</v>
      </c>
      <c r="J22" s="80"/>
      <c r="K22" s="78"/>
      <c r="L22" s="78"/>
      <c r="M22" s="78"/>
      <c r="N22" s="78"/>
      <c r="O22" s="78"/>
      <c r="P22" s="78"/>
      <c r="Q22" s="78"/>
      <c r="R22" s="78"/>
      <c r="S22" s="80" t="str">
        <f>AA20</f>
        <v>Inkstų</v>
      </c>
      <c r="T22" s="78"/>
      <c r="U22" s="78"/>
      <c r="V22" s="352"/>
      <c r="W22" s="352" t="s">
        <v>213</v>
      </c>
      <c r="X22" s="352">
        <v>7</v>
      </c>
      <c r="Y22" s="367">
        <v>9.45945945945946E-2</v>
      </c>
      <c r="Z22" s="352"/>
      <c r="AA22" s="352" t="s">
        <v>234</v>
      </c>
      <c r="AB22" s="352">
        <v>760</v>
      </c>
      <c r="AC22" s="367">
        <v>8.0911316938145433E-2</v>
      </c>
      <c r="AD22" s="352"/>
      <c r="AE22" s="352"/>
    </row>
    <row r="23" spans="1:31" ht="20.100000000000001" customHeight="1">
      <c r="A23" s="78"/>
      <c r="B23" s="78"/>
      <c r="C23" s="78"/>
      <c r="D23" s="78"/>
      <c r="E23" s="78"/>
      <c r="F23" s="78"/>
      <c r="G23" s="78"/>
      <c r="H23" s="78"/>
      <c r="I23" s="80" t="str">
        <f>W19</f>
        <v>Akių</v>
      </c>
      <c r="J23" s="80"/>
      <c r="K23" s="78"/>
      <c r="L23" s="78"/>
      <c r="M23" s="78"/>
      <c r="N23" s="78"/>
      <c r="O23" s="78"/>
      <c r="P23" s="78"/>
      <c r="Q23" s="78"/>
      <c r="R23" s="78"/>
      <c r="S23" s="80" t="str">
        <f>AA19</f>
        <v>Skrandžio</v>
      </c>
      <c r="T23" s="78"/>
      <c r="U23" s="78"/>
      <c r="V23" s="352"/>
      <c r="W23" s="352" t="s">
        <v>226</v>
      </c>
      <c r="X23" s="352">
        <v>7</v>
      </c>
      <c r="Y23" s="367">
        <v>9.45945945945946E-2</v>
      </c>
      <c r="Z23" s="352"/>
      <c r="AA23" s="352" t="s">
        <v>217</v>
      </c>
      <c r="AB23" s="352">
        <v>896</v>
      </c>
      <c r="AC23" s="367">
        <v>9.5390184179708293E-2</v>
      </c>
      <c r="AD23" s="352"/>
      <c r="AE23" s="352"/>
    </row>
    <row r="24" spans="1:31" ht="20.100000000000001" customHeight="1">
      <c r="A24" s="78"/>
      <c r="B24" s="78"/>
      <c r="C24" s="78"/>
      <c r="D24" s="78"/>
      <c r="E24" s="78"/>
      <c r="F24" s="78"/>
      <c r="G24" s="78"/>
      <c r="H24" s="78"/>
      <c r="I24" s="80" t="str">
        <f>W18</f>
        <v>Kiaušidžių</v>
      </c>
      <c r="J24" s="80"/>
      <c r="K24" s="78"/>
      <c r="L24" s="78"/>
      <c r="M24" s="78"/>
      <c r="N24" s="78"/>
      <c r="O24" s="78"/>
      <c r="P24" s="78"/>
      <c r="Q24" s="78"/>
      <c r="R24" s="78"/>
      <c r="S24" s="80" t="str">
        <f>AA18</f>
        <v>Gimdos kūno</v>
      </c>
      <c r="T24" s="78"/>
      <c r="U24" s="78"/>
      <c r="V24" s="352"/>
      <c r="W24" s="352" t="s">
        <v>225</v>
      </c>
      <c r="X24" s="352">
        <v>19</v>
      </c>
      <c r="Y24" s="367">
        <v>0.25675675675675674</v>
      </c>
      <c r="Z24" s="352"/>
      <c r="AA24" s="352" t="s">
        <v>216</v>
      </c>
      <c r="AB24" s="352">
        <v>991</v>
      </c>
      <c r="AC24" s="367">
        <v>0.10550409879697648</v>
      </c>
      <c r="AD24" s="352"/>
      <c r="AE24" s="352"/>
    </row>
    <row r="25" spans="1:31" ht="20.100000000000001" customHeight="1">
      <c r="A25" s="78"/>
      <c r="B25" s="78"/>
      <c r="C25" s="78"/>
      <c r="D25" s="78"/>
      <c r="E25" s="78"/>
      <c r="F25" s="78"/>
      <c r="G25" s="78"/>
      <c r="H25" s="78"/>
      <c r="I25" s="80" t="str">
        <f>W17</f>
        <v>Kitų virškinimo sistemos organų</v>
      </c>
      <c r="J25" s="80"/>
      <c r="K25" s="78"/>
      <c r="L25" s="78"/>
      <c r="M25" s="78"/>
      <c r="N25" s="78"/>
      <c r="O25" s="78"/>
      <c r="P25" s="78"/>
      <c r="Q25" s="78"/>
      <c r="R25" s="78"/>
      <c r="S25" s="80" t="str">
        <f>TEXT(AA15,)</f>
        <v>Kiti</v>
      </c>
      <c r="T25" s="78"/>
      <c r="U25" s="78"/>
      <c r="V25" s="352"/>
      <c r="W25" s="352" t="s">
        <v>227</v>
      </c>
      <c r="X25" s="352">
        <v>20</v>
      </c>
      <c r="Y25" s="367">
        <v>0.27027027027027029</v>
      </c>
      <c r="Z25" s="352"/>
      <c r="AA25" s="352" t="s">
        <v>218</v>
      </c>
      <c r="AB25" s="352">
        <v>2188</v>
      </c>
      <c r="AC25" s="367">
        <v>0.23293942297455553</v>
      </c>
      <c r="AD25" s="352"/>
      <c r="AE25" s="352"/>
    </row>
    <row r="26" spans="1:31" ht="20.100000000000001" customHeight="1">
      <c r="A26" s="78"/>
      <c r="B26" s="78"/>
      <c r="C26" s="78"/>
      <c r="D26" s="78"/>
      <c r="E26" s="78"/>
      <c r="F26" s="78"/>
      <c r="G26" s="78"/>
      <c r="H26" s="78"/>
      <c r="I26" s="80" t="str">
        <f>W16</f>
        <v>Kepenų</v>
      </c>
      <c r="J26" s="80"/>
      <c r="K26" s="78"/>
      <c r="L26" s="78"/>
      <c r="M26" s="78"/>
      <c r="N26" s="78"/>
      <c r="O26" s="78"/>
      <c r="P26" s="78"/>
      <c r="Q26" s="78"/>
      <c r="R26" s="78"/>
      <c r="S26" s="80" t="str">
        <f>TEXT(AA16,)</f>
        <v>Kasos</v>
      </c>
      <c r="T26" s="78"/>
      <c r="U26" s="78"/>
      <c r="V26" s="352"/>
      <c r="W26" s="389" t="s">
        <v>210</v>
      </c>
      <c r="X26" s="352">
        <v>74</v>
      </c>
      <c r="Y26" s="367">
        <v>1</v>
      </c>
      <c r="Z26" s="352"/>
      <c r="AA26" s="389" t="s">
        <v>210</v>
      </c>
      <c r="AB26" s="352">
        <v>9393</v>
      </c>
      <c r="AC26" s="367">
        <v>1.0000000000000002</v>
      </c>
      <c r="AD26" s="352"/>
      <c r="AE26" s="352"/>
    </row>
    <row r="27" spans="1:31" ht="20.100000000000001" customHeight="1">
      <c r="A27" s="78"/>
      <c r="B27" s="78"/>
      <c r="C27" s="78"/>
      <c r="D27" s="78"/>
      <c r="E27" s="78"/>
      <c r="F27" s="78"/>
      <c r="G27" s="78"/>
      <c r="H27" s="78"/>
      <c r="I27" s="80" t="str">
        <f>TEXT(W15,)</f>
        <v>Kiti</v>
      </c>
      <c r="J27" s="80"/>
      <c r="K27" s="78"/>
      <c r="L27" s="78"/>
      <c r="M27" s="78"/>
      <c r="N27" s="78"/>
      <c r="O27" s="78"/>
      <c r="P27" s="78"/>
      <c r="Q27" s="78"/>
      <c r="R27" s="78"/>
      <c r="S27" s="80" t="str">
        <f>TEXT(AA15,)</f>
        <v>Kiti</v>
      </c>
      <c r="T27" s="78"/>
      <c r="U27" s="78"/>
      <c r="V27" s="352"/>
      <c r="W27" s="504" t="s">
        <v>477</v>
      </c>
      <c r="X27" s="504"/>
      <c r="Y27" s="504"/>
      <c r="Z27" s="352"/>
      <c r="AA27" s="504" t="s">
        <v>480</v>
      </c>
      <c r="AB27" s="504"/>
      <c r="AC27" s="504"/>
      <c r="AD27" s="352"/>
      <c r="AE27" s="352"/>
    </row>
    <row r="28" spans="1:31" ht="24.95" customHeight="1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352"/>
      <c r="W28" s="352" t="s">
        <v>26</v>
      </c>
      <c r="X28" s="352">
        <v>35</v>
      </c>
      <c r="Y28" s="367">
        <v>0.20348837209302326</v>
      </c>
      <c r="Z28" s="352"/>
      <c r="AA28" s="352" t="s">
        <v>26</v>
      </c>
      <c r="AB28" s="352">
        <v>1447</v>
      </c>
      <c r="AC28" s="367">
        <v>0.27821572774466446</v>
      </c>
      <c r="AD28" s="352"/>
      <c r="AE28" s="352"/>
    </row>
    <row r="29" spans="1:31" ht="24.95" customHeight="1">
      <c r="A29" s="78"/>
      <c r="B29" s="78"/>
      <c r="C29" s="505" t="str">
        <f>W27</f>
        <v>Vyrai ir moterys, 15-29 metų (172 atv.)</v>
      </c>
      <c r="D29" s="505"/>
      <c r="E29" s="505"/>
      <c r="F29" s="505"/>
      <c r="G29" s="505"/>
      <c r="H29" s="505"/>
      <c r="I29" s="505"/>
      <c r="J29" s="210"/>
      <c r="K29" s="78"/>
      <c r="L29" s="78"/>
      <c r="M29" s="505" t="str">
        <f>AA27</f>
        <v>Vyrai ir moterys, 75 ir daugiau metų (5201 atv.)</v>
      </c>
      <c r="N29" s="505"/>
      <c r="O29" s="505"/>
      <c r="P29" s="505"/>
      <c r="Q29" s="505"/>
      <c r="R29" s="505"/>
      <c r="S29" s="505"/>
      <c r="T29" s="78"/>
      <c r="U29" s="78"/>
      <c r="V29" s="352"/>
      <c r="W29" s="352" t="s">
        <v>228</v>
      </c>
      <c r="X29" s="352">
        <v>9</v>
      </c>
      <c r="Y29" s="367">
        <v>5.232558139534884E-2</v>
      </c>
      <c r="Z29" s="352"/>
      <c r="AA29" s="352" t="s">
        <v>237</v>
      </c>
      <c r="AB29" s="352">
        <v>195</v>
      </c>
      <c r="AC29" s="367">
        <v>3.7492789848106133E-2</v>
      </c>
      <c r="AD29" s="352"/>
      <c r="AE29" s="352"/>
    </row>
    <row r="30" spans="1:31" ht="20.100000000000001" customHeight="1">
      <c r="A30" s="78"/>
      <c r="B30" s="78"/>
      <c r="C30" s="78"/>
      <c r="D30" s="78"/>
      <c r="E30" s="78"/>
      <c r="F30" s="78"/>
      <c r="G30" s="78"/>
      <c r="H30" s="78"/>
      <c r="I30" s="80" t="str">
        <f>W38</f>
        <v>Skydliaukės</v>
      </c>
      <c r="J30" s="78"/>
      <c r="K30" s="78"/>
      <c r="L30" s="78"/>
      <c r="M30" s="78"/>
      <c r="N30" s="78"/>
      <c r="O30" s="78"/>
      <c r="P30" s="78"/>
      <c r="Q30" s="78"/>
      <c r="R30" s="78"/>
      <c r="S30" s="80" t="str">
        <f>AA38</f>
        <v>Kiti odos piktybiniai navikai</v>
      </c>
      <c r="T30" s="78"/>
      <c r="U30" s="78"/>
      <c r="V30" s="352"/>
      <c r="W30" s="352" t="s">
        <v>232</v>
      </c>
      <c r="X30" s="352">
        <v>10</v>
      </c>
      <c r="Y30" s="367">
        <v>5.8139534883720929E-2</v>
      </c>
      <c r="Z30" s="352"/>
      <c r="AA30" s="352" t="s">
        <v>213</v>
      </c>
      <c r="AB30" s="352">
        <v>200</v>
      </c>
      <c r="AC30" s="367">
        <v>3.8454143433955007E-2</v>
      </c>
      <c r="AD30" s="352"/>
      <c r="AE30" s="352"/>
    </row>
    <row r="31" spans="1:31" ht="20.100000000000001" customHeight="1">
      <c r="A31" s="78"/>
      <c r="B31" s="78"/>
      <c r="C31" s="78"/>
      <c r="D31" s="78"/>
      <c r="E31" s="78"/>
      <c r="F31" s="78"/>
      <c r="G31" s="78"/>
      <c r="H31" s="78"/>
      <c r="I31" s="80" t="str">
        <f>W37</f>
        <v>Kiti odos piktybiniai navikai</v>
      </c>
      <c r="J31" s="78"/>
      <c r="K31" s="78"/>
      <c r="L31" s="78"/>
      <c r="M31" s="78"/>
      <c r="N31" s="78"/>
      <c r="O31" s="78"/>
      <c r="P31" s="78"/>
      <c r="Q31" s="78"/>
      <c r="R31" s="78"/>
      <c r="S31" s="80" t="str">
        <f>AA37</f>
        <v>Priešinės liaukos</v>
      </c>
      <c r="T31" s="78"/>
      <c r="U31" s="78"/>
      <c r="V31" s="352"/>
      <c r="W31" s="352" t="s">
        <v>231</v>
      </c>
      <c r="X31" s="352">
        <v>10</v>
      </c>
      <c r="Y31" s="367">
        <v>5.8139534883720929E-2</v>
      </c>
      <c r="Z31" s="352"/>
      <c r="AA31" s="352" t="s">
        <v>219</v>
      </c>
      <c r="AB31" s="352">
        <v>213</v>
      </c>
      <c r="AC31" s="367">
        <v>4.0953662757162085E-2</v>
      </c>
      <c r="AD31" s="352"/>
      <c r="AE31" s="352"/>
    </row>
    <row r="32" spans="1:31" ht="20.100000000000001" customHeight="1">
      <c r="A32" s="78"/>
      <c r="B32" s="78"/>
      <c r="C32" s="78"/>
      <c r="D32" s="78"/>
      <c r="E32" s="78"/>
      <c r="F32" s="78"/>
      <c r="G32" s="78"/>
      <c r="H32" s="78"/>
      <c r="I32" s="80" t="str">
        <f>W36</f>
        <v>Hodžkino limfomos</v>
      </c>
      <c r="J32" s="78"/>
      <c r="K32" s="78"/>
      <c r="L32" s="78"/>
      <c r="M32" s="78"/>
      <c r="N32" s="78"/>
      <c r="O32" s="78"/>
      <c r="P32" s="78"/>
      <c r="Q32" s="78"/>
      <c r="R32" s="78"/>
      <c r="S32" s="80" t="str">
        <f>AA36</f>
        <v>Plaučių, trachėjos, bronchų</v>
      </c>
      <c r="T32" s="78"/>
      <c r="U32" s="78"/>
      <c r="V32" s="352"/>
      <c r="W32" s="352" t="s">
        <v>225</v>
      </c>
      <c r="X32" s="352">
        <v>10</v>
      </c>
      <c r="Y32" s="367">
        <v>5.8139534883720929E-2</v>
      </c>
      <c r="Z32" s="352"/>
      <c r="AA32" s="352" t="s">
        <v>212</v>
      </c>
      <c r="AB32" s="352">
        <v>227</v>
      </c>
      <c r="AC32" s="367">
        <v>4.3645452797538932E-2</v>
      </c>
      <c r="AD32" s="352"/>
      <c r="AE32" s="352"/>
    </row>
    <row r="33" spans="1:31" ht="20.100000000000001" customHeight="1">
      <c r="A33" s="78"/>
      <c r="B33" s="78"/>
      <c r="C33" s="78"/>
      <c r="D33" s="78"/>
      <c r="E33" s="78"/>
      <c r="F33" s="78"/>
      <c r="G33" s="78"/>
      <c r="H33" s="78"/>
      <c r="I33" s="80" t="str">
        <f>W35</f>
        <v>Leukemijos</v>
      </c>
      <c r="J33" s="78"/>
      <c r="K33" s="78"/>
      <c r="L33" s="78"/>
      <c r="M33" s="78"/>
      <c r="N33" s="78"/>
      <c r="O33" s="78"/>
      <c r="P33" s="78"/>
      <c r="Q33" s="78"/>
      <c r="R33" s="78"/>
      <c r="S33" s="80" t="str">
        <f>AA35</f>
        <v>Gaubtinės žarnos</v>
      </c>
      <c r="T33" s="78"/>
      <c r="U33" s="78"/>
      <c r="V33" s="352"/>
      <c r="W33" s="352" t="s">
        <v>221</v>
      </c>
      <c r="X33" s="352">
        <v>11</v>
      </c>
      <c r="Y33" s="367">
        <v>6.3953488372093026E-2</v>
      </c>
      <c r="Z33" s="352"/>
      <c r="AA33" s="352" t="s">
        <v>215</v>
      </c>
      <c r="AB33" s="352">
        <v>333</v>
      </c>
      <c r="AC33" s="367">
        <v>6.4026148817535086E-2</v>
      </c>
      <c r="AD33" s="352"/>
      <c r="AE33" s="352"/>
    </row>
    <row r="34" spans="1:31" ht="20.100000000000001" customHeight="1">
      <c r="A34" s="78"/>
      <c r="B34" s="78"/>
      <c r="C34" s="78"/>
      <c r="D34" s="78"/>
      <c r="E34" s="78"/>
      <c r="F34" s="78"/>
      <c r="G34" s="78"/>
      <c r="H34" s="78"/>
      <c r="I34" s="80" t="str">
        <f>W34</f>
        <v>Ne Hodžkino limfomos</v>
      </c>
      <c r="J34" s="78"/>
      <c r="K34" s="78"/>
      <c r="L34" s="78"/>
      <c r="M34" s="78"/>
      <c r="N34" s="78"/>
      <c r="O34" s="78"/>
      <c r="P34" s="78"/>
      <c r="Q34" s="78"/>
      <c r="R34" s="78"/>
      <c r="S34" s="80" t="str">
        <f>AA34</f>
        <v>Krūties</v>
      </c>
      <c r="T34" s="78"/>
      <c r="U34" s="78"/>
      <c r="V34" s="352"/>
      <c r="W34" s="352" t="s">
        <v>226</v>
      </c>
      <c r="X34" s="352">
        <v>12</v>
      </c>
      <c r="Y34" s="367">
        <v>6.9767441860465115E-2</v>
      </c>
      <c r="Z34" s="352"/>
      <c r="AA34" s="352" t="s">
        <v>234</v>
      </c>
      <c r="AB34" s="352">
        <v>345</v>
      </c>
      <c r="AC34" s="367">
        <v>6.6333397423572388E-2</v>
      </c>
      <c r="AD34" s="352"/>
      <c r="AE34" s="352"/>
    </row>
    <row r="35" spans="1:31" ht="20.100000000000001" customHeight="1">
      <c r="A35" s="78"/>
      <c r="B35" s="78"/>
      <c r="C35" s="78"/>
      <c r="D35" s="78"/>
      <c r="E35" s="78"/>
      <c r="F35" s="78"/>
      <c r="G35" s="78"/>
      <c r="H35" s="78"/>
      <c r="I35" s="80" t="str">
        <f>W33</f>
        <v>Sėklidžių</v>
      </c>
      <c r="J35" s="78"/>
      <c r="K35" s="78"/>
      <c r="L35" s="78"/>
      <c r="M35" s="78"/>
      <c r="N35" s="78"/>
      <c r="O35" s="78"/>
      <c r="P35" s="78"/>
      <c r="Q35" s="78"/>
      <c r="R35" s="78"/>
      <c r="S35" s="80" t="str">
        <f>AA33</f>
        <v>Skrandžio</v>
      </c>
      <c r="T35" s="78"/>
      <c r="U35" s="78"/>
      <c r="V35" s="352"/>
      <c r="W35" s="352" t="s">
        <v>227</v>
      </c>
      <c r="X35" s="352">
        <v>16</v>
      </c>
      <c r="Y35" s="367">
        <v>9.3023255813953487E-2</v>
      </c>
      <c r="Z35" s="352"/>
      <c r="AA35" s="352" t="s">
        <v>214</v>
      </c>
      <c r="AB35" s="352">
        <v>351</v>
      </c>
      <c r="AC35" s="367">
        <v>6.7487021726591045E-2</v>
      </c>
      <c r="AD35" s="352"/>
      <c r="AE35" s="352"/>
    </row>
    <row r="36" spans="1:31" ht="20.100000000000001" customHeight="1">
      <c r="A36" s="78"/>
      <c r="B36" s="78"/>
      <c r="C36" s="78"/>
      <c r="D36" s="78"/>
      <c r="E36" s="78"/>
      <c r="F36" s="78"/>
      <c r="G36" s="78"/>
      <c r="H36" s="78"/>
      <c r="I36" s="80" t="str">
        <f>W32</f>
        <v>Smegenų</v>
      </c>
      <c r="J36" s="78"/>
      <c r="K36" s="78"/>
      <c r="L36" s="78"/>
      <c r="M36" s="78"/>
      <c r="N36" s="78"/>
      <c r="O36" s="78"/>
      <c r="P36" s="78"/>
      <c r="Q36" s="78"/>
      <c r="R36" s="78"/>
      <c r="S36" s="80" t="str">
        <f>AA32</f>
        <v>Tiesiosios žarnos, išangės</v>
      </c>
      <c r="T36" s="78"/>
      <c r="U36" s="78"/>
      <c r="V36" s="352"/>
      <c r="W36" s="352" t="s">
        <v>223</v>
      </c>
      <c r="X36" s="352">
        <v>17</v>
      </c>
      <c r="Y36" s="367">
        <v>9.8837209302325577E-2</v>
      </c>
      <c r="Z36" s="352"/>
      <c r="AA36" s="352" t="s">
        <v>217</v>
      </c>
      <c r="AB36" s="352">
        <v>448</v>
      </c>
      <c r="AC36" s="367">
        <v>8.613728129205922E-2</v>
      </c>
      <c r="AD36" s="352"/>
      <c r="AE36" s="352"/>
    </row>
    <row r="37" spans="1:31" ht="20.100000000000001" customHeight="1">
      <c r="A37" s="78"/>
      <c r="B37" s="78"/>
      <c r="C37" s="78"/>
      <c r="D37" s="78"/>
      <c r="E37" s="78"/>
      <c r="F37" s="78"/>
      <c r="G37" s="78"/>
      <c r="H37" s="78"/>
      <c r="I37" s="80" t="str">
        <f>W31</f>
        <v>Kiaušidžių</v>
      </c>
      <c r="J37" s="78"/>
      <c r="K37" s="78"/>
      <c r="L37" s="78"/>
      <c r="M37" s="78"/>
      <c r="N37" s="78"/>
      <c r="O37" s="78"/>
      <c r="P37" s="78"/>
      <c r="Q37" s="78"/>
      <c r="R37" s="78"/>
      <c r="S37" s="80" t="str">
        <f>AA31</f>
        <v>Kasos</v>
      </c>
      <c r="T37" s="78"/>
      <c r="U37" s="78"/>
      <c r="V37" s="352"/>
      <c r="W37" s="352" t="s">
        <v>216</v>
      </c>
      <c r="X37" s="352">
        <v>18</v>
      </c>
      <c r="Y37" s="367">
        <v>0.10465116279069768</v>
      </c>
      <c r="Z37" s="352"/>
      <c r="AA37" s="352" t="s">
        <v>218</v>
      </c>
      <c r="AB37" s="352">
        <v>499</v>
      </c>
      <c r="AC37" s="367">
        <v>9.5943087867717741E-2</v>
      </c>
      <c r="AD37" s="352"/>
      <c r="AE37" s="352"/>
    </row>
    <row r="38" spans="1:31" ht="20.100000000000001" customHeight="1">
      <c r="A38" s="78"/>
      <c r="B38" s="78"/>
      <c r="C38" s="78"/>
      <c r="D38" s="78"/>
      <c r="E38" s="78"/>
      <c r="F38" s="78"/>
      <c r="G38" s="78"/>
      <c r="H38" s="78"/>
      <c r="I38" s="80" t="str">
        <f>W30</f>
        <v>Gimdos kaklelio</v>
      </c>
      <c r="J38" s="78"/>
      <c r="K38" s="78"/>
      <c r="L38" s="78"/>
      <c r="M38" s="78"/>
      <c r="N38" s="78"/>
      <c r="O38" s="78"/>
      <c r="P38" s="78"/>
      <c r="Q38" s="78"/>
      <c r="R38" s="78"/>
      <c r="S38" s="80" t="str">
        <f>AA30</f>
        <v>Inkstų</v>
      </c>
      <c r="T38" s="78"/>
      <c r="U38" s="78"/>
      <c r="V38" s="352"/>
      <c r="W38" s="352" t="s">
        <v>222</v>
      </c>
      <c r="X38" s="352">
        <v>24</v>
      </c>
      <c r="Y38" s="367">
        <v>0.13953488372093023</v>
      </c>
      <c r="Z38" s="352"/>
      <c r="AA38" s="352" t="s">
        <v>216</v>
      </c>
      <c r="AB38" s="352">
        <v>943</v>
      </c>
      <c r="AC38" s="367">
        <v>0.18131128629109786</v>
      </c>
      <c r="AD38" s="352"/>
      <c r="AE38" s="352"/>
    </row>
    <row r="39" spans="1:31" ht="20.100000000000001" customHeight="1">
      <c r="A39" s="78"/>
      <c r="B39" s="78"/>
      <c r="C39" s="78"/>
      <c r="D39" s="78"/>
      <c r="E39" s="78"/>
      <c r="F39" s="78"/>
      <c r="G39" s="78"/>
      <c r="H39" s="78"/>
      <c r="I39" s="80" t="str">
        <f>W29</f>
        <v>Kaulų ir jungiamojo audinio</v>
      </c>
      <c r="J39" s="78"/>
      <c r="K39" s="78"/>
      <c r="L39" s="78"/>
      <c r="M39" s="78"/>
      <c r="N39" s="78"/>
      <c r="O39" s="78"/>
      <c r="P39" s="78"/>
      <c r="Q39" s="78"/>
      <c r="R39" s="78"/>
      <c r="S39" s="80" t="str">
        <f>AA29</f>
        <v>Nepatikslintos lokalizacijos</v>
      </c>
      <c r="T39" s="78"/>
      <c r="U39" s="78"/>
      <c r="V39" s="352"/>
      <c r="W39" s="389" t="s">
        <v>210</v>
      </c>
      <c r="X39" s="352">
        <v>172</v>
      </c>
      <c r="Y39" s="367">
        <v>1</v>
      </c>
      <c r="Z39" s="352"/>
      <c r="AA39" s="389" t="s">
        <v>210</v>
      </c>
      <c r="AB39" s="352">
        <v>5201</v>
      </c>
      <c r="AC39" s="367">
        <v>0.99999999999999989</v>
      </c>
      <c r="AD39" s="352"/>
      <c r="AE39" s="352"/>
    </row>
    <row r="40" spans="1:31" ht="20.100000000000001" customHeight="1">
      <c r="A40" s="78"/>
      <c r="B40" s="78"/>
      <c r="C40" s="78"/>
      <c r="D40" s="78"/>
      <c r="E40" s="78"/>
      <c r="F40" s="78"/>
      <c r="G40" s="78"/>
      <c r="H40" s="78"/>
      <c r="I40" s="80" t="str">
        <f>W28</f>
        <v>Kiti</v>
      </c>
      <c r="J40" s="78"/>
      <c r="K40" s="78"/>
      <c r="L40" s="78"/>
      <c r="M40" s="78"/>
      <c r="N40" s="78"/>
      <c r="O40" s="78"/>
      <c r="P40" s="78"/>
      <c r="Q40" s="78"/>
      <c r="R40" s="78"/>
      <c r="S40" s="80" t="str">
        <f>AA28</f>
        <v>Kiti</v>
      </c>
      <c r="T40" s="78"/>
      <c r="U40" s="78"/>
      <c r="V40" s="352"/>
      <c r="W40" s="504"/>
      <c r="X40" s="504"/>
      <c r="Y40" s="504"/>
      <c r="Z40" s="352"/>
      <c r="AA40" s="504"/>
      <c r="AB40" s="504"/>
      <c r="AC40" s="504"/>
      <c r="AD40" s="352"/>
      <c r="AE40" s="352"/>
    </row>
    <row r="41" spans="1:31" ht="24.9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352"/>
      <c r="W41" s="352"/>
      <c r="X41" s="352"/>
      <c r="Y41" s="368"/>
      <c r="Z41" s="352"/>
      <c r="AA41" s="352"/>
      <c r="AB41" s="352"/>
      <c r="AC41" s="368"/>
      <c r="AD41" s="352"/>
      <c r="AE41" s="352"/>
    </row>
    <row r="42" spans="1:3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52"/>
      <c r="W42" s="352"/>
      <c r="X42" s="352"/>
      <c r="Y42" s="352"/>
      <c r="Z42" s="352"/>
      <c r="AA42" s="352"/>
      <c r="AB42" s="352"/>
      <c r="AC42" s="352"/>
      <c r="AD42" s="352"/>
      <c r="AE42" s="352"/>
    </row>
    <row r="43" spans="1:3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251"/>
      <c r="M43" s="31"/>
      <c r="N43" s="31"/>
      <c r="O43" s="31"/>
      <c r="P43" s="31"/>
      <c r="Q43" s="31"/>
      <c r="R43" s="31"/>
      <c r="S43" s="31"/>
      <c r="T43" s="31"/>
      <c r="U43" s="31"/>
      <c r="V43" s="352"/>
      <c r="W43" s="352"/>
      <c r="X43" s="352"/>
      <c r="Y43" s="352"/>
      <c r="Z43" s="352"/>
      <c r="AA43" s="352"/>
      <c r="AB43" s="352"/>
      <c r="AC43" s="352"/>
      <c r="AD43" s="352"/>
      <c r="AE43" s="352"/>
    </row>
    <row r="44" spans="1:3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</sheetData>
  <mergeCells count="14">
    <mergeCell ref="W1:Y1"/>
    <mergeCell ref="AA1:AC1"/>
    <mergeCell ref="C3:I3"/>
    <mergeCell ref="M3:S3"/>
    <mergeCell ref="W14:Y14"/>
    <mergeCell ref="AA14:AC14"/>
    <mergeCell ref="W40:Y40"/>
    <mergeCell ref="AA40:AC40"/>
    <mergeCell ref="C16:I16"/>
    <mergeCell ref="M16:S16"/>
    <mergeCell ref="W27:Y27"/>
    <mergeCell ref="AA27:AC27"/>
    <mergeCell ref="C29:I29"/>
    <mergeCell ref="M29:S29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0.39997558519241921"/>
  </sheetPr>
  <dimension ref="A1:AE84"/>
  <sheetViews>
    <sheetView zoomScaleNormal="100" workbookViewId="0">
      <selection activeCell="E1" sqref="E1"/>
    </sheetView>
  </sheetViews>
  <sheetFormatPr defaultRowHeight="12.75"/>
  <cols>
    <col min="1" max="1" width="6.7109375" customWidth="1"/>
    <col min="2" max="2" width="0.140625" customWidth="1"/>
    <col min="3" max="6" width="7.7109375" customWidth="1"/>
    <col min="7" max="7" width="4.7109375" customWidth="1"/>
    <col min="8" max="8" width="10.7109375" customWidth="1"/>
    <col min="9" max="9" width="7.7109375" customWidth="1"/>
    <col min="10" max="10" width="0.85546875" customWidth="1"/>
    <col min="11" max="11" width="2.7109375" customWidth="1"/>
    <col min="12" max="12" width="0.85546875" customWidth="1"/>
    <col min="13" max="16" width="7.7109375" customWidth="1"/>
    <col min="17" max="17" width="4.7109375" customWidth="1"/>
    <col min="18" max="18" width="10.7109375" customWidth="1"/>
    <col min="19" max="19" width="7.7109375" customWidth="1"/>
    <col min="20" max="20" width="0.140625" customWidth="1"/>
    <col min="21" max="21" width="7.7109375" customWidth="1"/>
    <col min="23" max="23" width="31.5703125" bestFit="1" customWidth="1"/>
    <col min="24" max="24" width="5" bestFit="1" customWidth="1"/>
    <col min="25" max="25" width="5.7109375" bestFit="1" customWidth="1"/>
    <col min="26" max="26" width="8.5703125" bestFit="1" customWidth="1"/>
    <col min="27" max="27" width="34.140625" bestFit="1" customWidth="1"/>
    <col min="28" max="28" width="5" bestFit="1" customWidth="1"/>
    <col min="29" max="29" width="5.7109375" bestFit="1" customWidth="1"/>
    <col min="31" max="31" width="9.42578125" bestFit="1" customWidth="1"/>
  </cols>
  <sheetData>
    <row r="1" spans="1:31" ht="20.100000000000001" customHeight="1">
      <c r="A1" s="354">
        <v>2015</v>
      </c>
      <c r="B1" s="354"/>
      <c r="C1" s="354" t="s">
        <v>406</v>
      </c>
      <c r="D1" s="31"/>
      <c r="E1" s="253" t="s">
        <v>632</v>
      </c>
      <c r="F1" s="31"/>
      <c r="G1" s="353" t="s">
        <v>407</v>
      </c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1"/>
      <c r="S1" s="31"/>
      <c r="T1" s="31"/>
      <c r="U1" s="31"/>
      <c r="V1" s="31"/>
      <c r="W1" s="504" t="s">
        <v>453</v>
      </c>
      <c r="X1" s="504"/>
      <c r="Y1" s="504"/>
      <c r="Z1" s="352"/>
      <c r="AA1" s="504" t="s">
        <v>459</v>
      </c>
      <c r="AB1" s="504"/>
      <c r="AC1" s="504"/>
      <c r="AD1" s="352"/>
    </row>
    <row r="2" spans="1:31" ht="20.100000000000001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31"/>
      <c r="W2" s="352" t="s">
        <v>26</v>
      </c>
      <c r="X2" s="352">
        <v>1806</v>
      </c>
      <c r="Y2" s="367">
        <v>0.19379761777014701</v>
      </c>
      <c r="Z2" s="352"/>
      <c r="AA2" s="352" t="s">
        <v>26</v>
      </c>
      <c r="AB2" s="352">
        <v>2308</v>
      </c>
      <c r="AC2" s="367">
        <v>0.27512218381213494</v>
      </c>
      <c r="AD2" s="352"/>
      <c r="AE2" s="31"/>
    </row>
    <row r="3" spans="1:31" ht="24.95" customHeight="1">
      <c r="A3" s="78"/>
      <c r="B3" s="78"/>
      <c r="C3" s="505" t="str">
        <f>W1</f>
        <v>Vyrai, visos amžiaus grupės (9319 atv.)</v>
      </c>
      <c r="D3" s="505"/>
      <c r="E3" s="505"/>
      <c r="F3" s="505"/>
      <c r="G3" s="505"/>
      <c r="H3" s="505"/>
      <c r="I3" s="505"/>
      <c r="J3" s="79"/>
      <c r="K3" s="78"/>
      <c r="L3" s="78"/>
      <c r="M3" s="505" t="str">
        <f>AA1</f>
        <v>Moterys, visos amžiaus grupės (8389 atv.)</v>
      </c>
      <c r="N3" s="505"/>
      <c r="O3" s="505"/>
      <c r="P3" s="505"/>
      <c r="Q3" s="505"/>
      <c r="R3" s="505"/>
      <c r="S3" s="505"/>
      <c r="T3" s="78"/>
      <c r="U3" s="78"/>
      <c r="V3" s="31"/>
      <c r="W3" s="352" t="s">
        <v>227</v>
      </c>
      <c r="X3" s="352">
        <v>249</v>
      </c>
      <c r="Y3" s="367">
        <v>2.6719605107844189E-2</v>
      </c>
      <c r="Z3" s="352"/>
      <c r="AA3" s="352" t="s">
        <v>213</v>
      </c>
      <c r="AB3" s="352">
        <v>283</v>
      </c>
      <c r="AC3" s="367">
        <v>3.3734652521158662E-2</v>
      </c>
      <c r="AD3" s="352"/>
      <c r="AE3" s="31"/>
    </row>
    <row r="4" spans="1:31" ht="20.100000000000001" customHeight="1">
      <c r="A4" s="78"/>
      <c r="B4" s="78"/>
      <c r="C4" s="78"/>
      <c r="D4" s="78"/>
      <c r="E4" s="78"/>
      <c r="F4" s="78"/>
      <c r="G4" s="78"/>
      <c r="H4" s="78"/>
      <c r="I4" s="80" t="str">
        <f>W12</f>
        <v>Priešinės liaukos</v>
      </c>
      <c r="J4" s="80"/>
      <c r="K4" s="78"/>
      <c r="L4" s="78"/>
      <c r="M4" s="78"/>
      <c r="N4" s="78"/>
      <c r="O4" s="78"/>
      <c r="P4" s="78"/>
      <c r="Q4" s="78"/>
      <c r="R4" s="78"/>
      <c r="S4" s="80" t="str">
        <f>AA12</f>
        <v>Krūties</v>
      </c>
      <c r="T4" s="78"/>
      <c r="U4" s="78"/>
      <c r="V4" s="31"/>
      <c r="W4" s="352" t="s">
        <v>211</v>
      </c>
      <c r="X4" s="352">
        <v>292</v>
      </c>
      <c r="Y4" s="367">
        <v>3.1333834102371498E-2</v>
      </c>
      <c r="Z4" s="352"/>
      <c r="AA4" s="352" t="s">
        <v>219</v>
      </c>
      <c r="AB4" s="352">
        <v>287</v>
      </c>
      <c r="AC4" s="367">
        <v>3.4211467397782809E-2</v>
      </c>
      <c r="AD4" s="352"/>
      <c r="AE4" s="31"/>
    </row>
    <row r="5" spans="1:31" ht="20.100000000000001" customHeight="1">
      <c r="A5" s="78"/>
      <c r="B5" s="78"/>
      <c r="C5" s="78"/>
      <c r="D5" s="78"/>
      <c r="E5" s="78"/>
      <c r="F5" s="78"/>
      <c r="G5" s="78"/>
      <c r="H5" s="78"/>
      <c r="I5" s="80" t="str">
        <f>W11</f>
        <v>Plaučių, trachėjos, bronchų</v>
      </c>
      <c r="J5" s="80"/>
      <c r="K5" s="78"/>
      <c r="L5" s="78"/>
      <c r="M5" s="78"/>
      <c r="N5" s="78"/>
      <c r="O5" s="78"/>
      <c r="P5" s="78"/>
      <c r="Q5" s="78"/>
      <c r="R5" s="78"/>
      <c r="S5" s="80" t="str">
        <f>AA11</f>
        <v>Kiti odos piktybiniai navikai</v>
      </c>
      <c r="T5" s="78"/>
      <c r="U5" s="78"/>
      <c r="V5" s="31"/>
      <c r="W5" s="352" t="s">
        <v>220</v>
      </c>
      <c r="X5" s="352">
        <v>300</v>
      </c>
      <c r="Y5" s="367">
        <v>3.219229531065565E-2</v>
      </c>
      <c r="Z5" s="352"/>
      <c r="AA5" s="352" t="s">
        <v>217</v>
      </c>
      <c r="AB5" s="352">
        <v>310</v>
      </c>
      <c r="AC5" s="367">
        <v>3.6953152938371675E-2</v>
      </c>
      <c r="AD5" s="352"/>
      <c r="AE5" s="31"/>
    </row>
    <row r="6" spans="1:31" ht="20.100000000000001" customHeight="1">
      <c r="A6" s="78"/>
      <c r="B6" s="78"/>
      <c r="C6" s="78"/>
      <c r="D6" s="78"/>
      <c r="E6" s="78"/>
      <c r="F6" s="78"/>
      <c r="G6" s="78"/>
      <c r="H6" s="78"/>
      <c r="I6" s="80" t="str">
        <f>W10</f>
        <v>Kiti odos piktybiniai navikai</v>
      </c>
      <c r="J6" s="80"/>
      <c r="K6" s="78"/>
      <c r="L6" s="78"/>
      <c r="M6" s="78"/>
      <c r="N6" s="78"/>
      <c r="O6" s="78"/>
      <c r="P6" s="78"/>
      <c r="Q6" s="78"/>
      <c r="R6" s="78"/>
      <c r="S6" s="80" t="str">
        <f>AA10</f>
        <v>Gimdos kūno</v>
      </c>
      <c r="T6" s="78"/>
      <c r="U6" s="78"/>
      <c r="V6" s="31"/>
      <c r="W6" s="352" t="s">
        <v>212</v>
      </c>
      <c r="X6" s="352">
        <v>343</v>
      </c>
      <c r="Y6" s="367">
        <v>3.6806524305182962E-2</v>
      </c>
      <c r="Z6" s="352"/>
      <c r="AA6" s="352" t="s">
        <v>215</v>
      </c>
      <c r="AB6" s="352">
        <v>315</v>
      </c>
      <c r="AC6" s="367">
        <v>3.7549171534151868E-2</v>
      </c>
      <c r="AD6" s="352"/>
      <c r="AE6" s="31"/>
    </row>
    <row r="7" spans="1:31" ht="20.100000000000001" customHeight="1">
      <c r="A7" s="78"/>
      <c r="B7" s="78"/>
      <c r="C7" s="78"/>
      <c r="D7" s="78"/>
      <c r="E7" s="78"/>
      <c r="F7" s="78"/>
      <c r="G7" s="78"/>
      <c r="H7" s="78"/>
      <c r="I7" s="80" t="str">
        <f>W9</f>
        <v>Skrandžio</v>
      </c>
      <c r="J7" s="80"/>
      <c r="K7" s="78"/>
      <c r="L7" s="78"/>
      <c r="M7" s="78"/>
      <c r="N7" s="78"/>
      <c r="O7" s="78"/>
      <c r="P7" s="78"/>
      <c r="Q7" s="78"/>
      <c r="R7" s="78"/>
      <c r="S7" s="80" t="str">
        <f>AA9</f>
        <v>Gaubtinės žarnos</v>
      </c>
      <c r="T7" s="78"/>
      <c r="U7" s="78"/>
      <c r="V7" s="31"/>
      <c r="W7" s="352" t="s">
        <v>214</v>
      </c>
      <c r="X7" s="352">
        <v>421</v>
      </c>
      <c r="Y7" s="367">
        <v>4.5176521085953429E-2</v>
      </c>
      <c r="Z7" s="352"/>
      <c r="AA7" s="352" t="s">
        <v>232</v>
      </c>
      <c r="AB7" s="352">
        <v>380</v>
      </c>
      <c r="AC7" s="367">
        <v>4.5297413279294312E-2</v>
      </c>
      <c r="AD7" s="352"/>
      <c r="AE7" s="31"/>
    </row>
    <row r="8" spans="1:31" ht="20.100000000000001" customHeight="1">
      <c r="A8" s="78"/>
      <c r="B8" s="78"/>
      <c r="C8" s="78"/>
      <c r="D8" s="78"/>
      <c r="E8" s="78"/>
      <c r="F8" s="78"/>
      <c r="G8" s="78"/>
      <c r="H8" s="78"/>
      <c r="I8" s="80" t="str">
        <f>W8</f>
        <v>Inkstų</v>
      </c>
      <c r="J8" s="80"/>
      <c r="K8" s="78"/>
      <c r="L8" s="78"/>
      <c r="M8" s="78"/>
      <c r="N8" s="78"/>
      <c r="O8" s="78"/>
      <c r="P8" s="78"/>
      <c r="Q8" s="78"/>
      <c r="R8" s="78"/>
      <c r="S8" s="80" t="str">
        <f>AA8</f>
        <v>Kiaušidžių</v>
      </c>
      <c r="T8" s="78"/>
      <c r="U8" s="78"/>
      <c r="V8" s="31"/>
      <c r="W8" s="352" t="s">
        <v>213</v>
      </c>
      <c r="X8" s="352">
        <v>436</v>
      </c>
      <c r="Y8" s="367">
        <v>4.6786135851486214E-2</v>
      </c>
      <c r="Z8" s="352"/>
      <c r="AA8" s="352" t="s">
        <v>231</v>
      </c>
      <c r="AB8" s="352">
        <v>385</v>
      </c>
      <c r="AC8" s="367">
        <v>4.5893431875074504E-2</v>
      </c>
      <c r="AD8" s="352"/>
      <c r="AE8" s="31"/>
    </row>
    <row r="9" spans="1:31" ht="20.100000000000001" customHeight="1">
      <c r="A9" s="78"/>
      <c r="B9" s="78"/>
      <c r="C9" s="78"/>
      <c r="D9" s="78"/>
      <c r="E9" s="78"/>
      <c r="F9" s="78"/>
      <c r="G9" s="78"/>
      <c r="H9" s="78"/>
      <c r="I9" s="80" t="str">
        <f>W7</f>
        <v>Gaubtinės žarnos</v>
      </c>
      <c r="J9" s="80"/>
      <c r="K9" s="78"/>
      <c r="L9" s="78"/>
      <c r="M9" s="78"/>
      <c r="N9" s="78"/>
      <c r="O9" s="78"/>
      <c r="P9" s="78"/>
      <c r="Q9" s="78"/>
      <c r="R9" s="78"/>
      <c r="S9" s="80" t="str">
        <f>AA7</f>
        <v>Gimdos kaklelio</v>
      </c>
      <c r="T9" s="78"/>
      <c r="U9" s="78"/>
      <c r="V9" s="31"/>
      <c r="W9" s="352" t="s">
        <v>215</v>
      </c>
      <c r="X9" s="352">
        <v>491</v>
      </c>
      <c r="Y9" s="367">
        <v>5.2688056658439744E-2</v>
      </c>
      <c r="Z9" s="352"/>
      <c r="AA9" s="352" t="s">
        <v>214</v>
      </c>
      <c r="AB9" s="352">
        <v>454</v>
      </c>
      <c r="AC9" s="367">
        <v>5.4118488496841102E-2</v>
      </c>
      <c r="AD9" s="352"/>
      <c r="AE9" s="31"/>
    </row>
    <row r="10" spans="1:31" ht="20.100000000000001" customHeight="1">
      <c r="A10" s="78"/>
      <c r="B10" s="78"/>
      <c r="C10" s="78"/>
      <c r="D10" s="78"/>
      <c r="E10" s="78"/>
      <c r="F10" s="78"/>
      <c r="G10" s="78"/>
      <c r="H10" s="78"/>
      <c r="I10" s="80" t="str">
        <f>W6</f>
        <v>Tiesiosios žarnos, išangės</v>
      </c>
      <c r="J10" s="80"/>
      <c r="K10" s="78"/>
      <c r="L10" s="78"/>
      <c r="M10" s="78"/>
      <c r="N10" s="78"/>
      <c r="O10" s="78"/>
      <c r="P10" s="78"/>
      <c r="Q10" s="78"/>
      <c r="R10" s="78"/>
      <c r="S10" s="80" t="str">
        <f>AA6</f>
        <v>Skrandžio</v>
      </c>
      <c r="T10" s="78"/>
      <c r="U10" s="78"/>
      <c r="V10" s="31"/>
      <c r="W10" s="352" t="s">
        <v>216</v>
      </c>
      <c r="X10" s="352">
        <v>823</v>
      </c>
      <c r="Y10" s="367">
        <v>8.8314196802232001E-2</v>
      </c>
      <c r="Z10" s="352"/>
      <c r="AA10" s="352" t="s">
        <v>233</v>
      </c>
      <c r="AB10" s="352">
        <v>615</v>
      </c>
      <c r="AC10" s="367">
        <v>7.3310287280963171E-2</v>
      </c>
      <c r="AD10" s="352"/>
      <c r="AE10" s="31"/>
    </row>
    <row r="11" spans="1:31" ht="20.100000000000001" customHeight="1">
      <c r="A11" s="78"/>
      <c r="B11" s="78"/>
      <c r="C11" s="78"/>
      <c r="D11" s="78"/>
      <c r="E11" s="78"/>
      <c r="F11" s="78"/>
      <c r="G11" s="78"/>
      <c r="H11" s="78"/>
      <c r="I11" s="80" t="str">
        <f>W5</f>
        <v>Šlapimo pūslės</v>
      </c>
      <c r="J11" s="80"/>
      <c r="K11" s="78"/>
      <c r="L11" s="78"/>
      <c r="M11" s="78"/>
      <c r="N11" s="78"/>
      <c r="O11" s="78"/>
      <c r="P11" s="78"/>
      <c r="Q11" s="78"/>
      <c r="R11" s="78"/>
      <c r="S11" s="80" t="str">
        <f>AA5</f>
        <v>Plaučių, trachėjos, bronchų</v>
      </c>
      <c r="T11" s="78"/>
      <c r="U11" s="78"/>
      <c r="V11" s="31"/>
      <c r="W11" s="352" t="s">
        <v>217</v>
      </c>
      <c r="X11" s="352">
        <v>1191</v>
      </c>
      <c r="Y11" s="367">
        <v>0.12780341238330292</v>
      </c>
      <c r="Z11" s="352"/>
      <c r="AA11" s="352" t="s">
        <v>216</v>
      </c>
      <c r="AB11" s="352">
        <v>1414</v>
      </c>
      <c r="AC11" s="367">
        <v>0.16855405888663727</v>
      </c>
      <c r="AD11" s="352"/>
      <c r="AE11" s="31"/>
    </row>
    <row r="12" spans="1:31" ht="20.100000000000001" customHeight="1">
      <c r="A12" s="78"/>
      <c r="B12" s="78"/>
      <c r="C12" s="78"/>
      <c r="D12" s="78"/>
      <c r="E12" s="78"/>
      <c r="F12" s="78"/>
      <c r="G12" s="78"/>
      <c r="H12" s="78"/>
      <c r="I12" s="80" t="str">
        <f>W4</f>
        <v>Burnos ertmės ir ryklės</v>
      </c>
      <c r="J12" s="80"/>
      <c r="K12" s="78"/>
      <c r="L12" s="78"/>
      <c r="M12" s="78"/>
      <c r="N12" s="78"/>
      <c r="O12" s="78"/>
      <c r="P12" s="78"/>
      <c r="Q12" s="78"/>
      <c r="R12" s="78"/>
      <c r="S12" s="80" t="str">
        <f>AA4</f>
        <v>Kasos</v>
      </c>
      <c r="T12" s="78"/>
      <c r="U12" s="78"/>
      <c r="V12" s="31"/>
      <c r="W12" s="352" t="s">
        <v>218</v>
      </c>
      <c r="X12" s="352">
        <v>2967</v>
      </c>
      <c r="Y12" s="367">
        <v>0.31838180062238436</v>
      </c>
      <c r="Z12" s="352"/>
      <c r="AA12" s="352" t="s">
        <v>234</v>
      </c>
      <c r="AB12" s="352">
        <v>1638</v>
      </c>
      <c r="AC12" s="367">
        <v>0.19525569197758971</v>
      </c>
      <c r="AD12" s="352"/>
      <c r="AE12" s="31"/>
    </row>
    <row r="13" spans="1:31" ht="20.100000000000001" customHeight="1">
      <c r="A13" s="78"/>
      <c r="B13" s="78"/>
      <c r="C13" s="78"/>
      <c r="D13" s="78"/>
      <c r="E13" s="78"/>
      <c r="F13" s="78"/>
      <c r="G13" s="78"/>
      <c r="H13" s="78"/>
      <c r="I13" s="80" t="str">
        <f>W3</f>
        <v>Leukemijos</v>
      </c>
      <c r="J13" s="80"/>
      <c r="K13" s="78"/>
      <c r="L13" s="78"/>
      <c r="M13" s="78"/>
      <c r="N13" s="78"/>
      <c r="O13" s="78"/>
      <c r="P13" s="78"/>
      <c r="Q13" s="78"/>
      <c r="R13" s="78"/>
      <c r="S13" s="80" t="str">
        <f>AA3</f>
        <v>Inkstų</v>
      </c>
      <c r="T13" s="78"/>
      <c r="U13" s="78"/>
      <c r="V13" s="31"/>
      <c r="W13" s="366" t="s">
        <v>210</v>
      </c>
      <c r="X13" s="352">
        <v>9319</v>
      </c>
      <c r="Y13" s="367">
        <v>1</v>
      </c>
      <c r="Z13" s="352"/>
      <c r="AA13" s="366" t="s">
        <v>210</v>
      </c>
      <c r="AB13" s="352">
        <v>8389</v>
      </c>
      <c r="AC13" s="367">
        <v>1</v>
      </c>
      <c r="AD13" s="352"/>
      <c r="AE13" s="31"/>
    </row>
    <row r="14" spans="1:31" ht="20.100000000000001" customHeight="1">
      <c r="A14" s="78"/>
      <c r="B14" s="78"/>
      <c r="C14" s="78"/>
      <c r="D14" s="78"/>
      <c r="E14" s="78"/>
      <c r="F14" s="78"/>
      <c r="G14" s="78"/>
      <c r="H14" s="78"/>
      <c r="I14" s="80" t="str">
        <f>W2</f>
        <v>Kiti</v>
      </c>
      <c r="J14" s="80"/>
      <c r="K14" s="78"/>
      <c r="L14" s="78"/>
      <c r="M14" s="78"/>
      <c r="N14" s="78"/>
      <c r="O14" s="78"/>
      <c r="P14" s="78"/>
      <c r="Q14" s="78"/>
      <c r="R14" s="78"/>
      <c r="S14" s="80" t="str">
        <f>AA2</f>
        <v>Kiti</v>
      </c>
      <c r="T14" s="78"/>
      <c r="U14" s="78"/>
      <c r="V14" s="31"/>
      <c r="W14" s="504" t="s">
        <v>454</v>
      </c>
      <c r="X14" s="504"/>
      <c r="Y14" s="504"/>
      <c r="Z14" s="352"/>
      <c r="AA14" s="504" t="s">
        <v>460</v>
      </c>
      <c r="AB14" s="504"/>
      <c r="AC14" s="504"/>
      <c r="AD14" s="352"/>
      <c r="AE14" s="31"/>
    </row>
    <row r="15" spans="1:31" ht="24.9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31"/>
      <c r="W15" s="352" t="s">
        <v>26</v>
      </c>
      <c r="X15" s="352">
        <v>1</v>
      </c>
      <c r="Y15" s="367">
        <v>2.1739130434782608E-2</v>
      </c>
      <c r="Z15" s="352"/>
      <c r="AA15" s="352"/>
      <c r="AB15" s="352"/>
      <c r="AC15" s="352"/>
      <c r="AD15" s="352"/>
      <c r="AE15" s="31"/>
    </row>
    <row r="16" spans="1:31" ht="24.95" customHeight="1">
      <c r="A16" s="78"/>
      <c r="B16" s="78"/>
      <c r="C16" s="505" t="str">
        <f>W14</f>
        <v>Vyrai, 0-14 metų (46 atv.)</v>
      </c>
      <c r="D16" s="505"/>
      <c r="E16" s="505"/>
      <c r="F16" s="505"/>
      <c r="G16" s="505"/>
      <c r="H16" s="505"/>
      <c r="I16" s="505"/>
      <c r="J16" s="79"/>
      <c r="K16" s="78"/>
      <c r="L16" s="78"/>
      <c r="M16" s="505" t="str">
        <f>AA14</f>
        <v>Moterys, 0-14 metų (28 atv.)</v>
      </c>
      <c r="N16" s="505"/>
      <c r="O16" s="505"/>
      <c r="P16" s="505"/>
      <c r="Q16" s="505"/>
      <c r="R16" s="505"/>
      <c r="S16" s="505"/>
      <c r="T16" s="78"/>
      <c r="U16" s="78"/>
      <c r="V16" s="31"/>
      <c r="W16" s="352" t="s">
        <v>443</v>
      </c>
      <c r="X16" s="352">
        <v>1</v>
      </c>
      <c r="Y16" s="367">
        <v>2.1739130434782608E-2</v>
      </c>
      <c r="Z16" s="352"/>
      <c r="AA16" s="352"/>
      <c r="AB16" s="352"/>
      <c r="AC16" s="368"/>
      <c r="AD16" s="352"/>
      <c r="AE16" s="31"/>
    </row>
    <row r="17" spans="1:31" ht="20.100000000000001" customHeight="1">
      <c r="A17" s="78"/>
      <c r="B17" s="78"/>
      <c r="C17" s="78"/>
      <c r="D17" s="78"/>
      <c r="E17" s="78"/>
      <c r="F17" s="78"/>
      <c r="G17" s="78"/>
      <c r="H17" s="78"/>
      <c r="I17" s="80" t="str">
        <f>W25</f>
        <v>Leukemijos</v>
      </c>
      <c r="J17" s="80"/>
      <c r="K17" s="78"/>
      <c r="L17" s="78"/>
      <c r="M17" s="78"/>
      <c r="N17" s="78"/>
      <c r="O17" s="78"/>
      <c r="P17" s="78"/>
      <c r="Q17" s="78"/>
      <c r="R17" s="78"/>
      <c r="S17" s="80" t="str">
        <f>AA25</f>
        <v>Smegenų</v>
      </c>
      <c r="T17" s="78"/>
      <c r="U17" s="78"/>
      <c r="V17" s="31"/>
      <c r="W17" s="352" t="s">
        <v>224</v>
      </c>
      <c r="X17" s="352">
        <v>1</v>
      </c>
      <c r="Y17" s="367">
        <v>2.1739130434782608E-2</v>
      </c>
      <c r="Z17" s="352"/>
      <c r="AA17" s="352"/>
      <c r="AB17" s="352"/>
      <c r="AC17" s="368"/>
      <c r="AD17" s="352"/>
      <c r="AE17" s="31"/>
    </row>
    <row r="18" spans="1:31" ht="20.100000000000001" customHeight="1">
      <c r="A18" s="78"/>
      <c r="B18" s="78"/>
      <c r="C18" s="78"/>
      <c r="D18" s="78"/>
      <c r="E18" s="78"/>
      <c r="F18" s="78"/>
      <c r="G18" s="78"/>
      <c r="H18" s="78"/>
      <c r="I18" s="80" t="str">
        <f>W24</f>
        <v>Smegenų</v>
      </c>
      <c r="J18" s="80"/>
      <c r="K18" s="78"/>
      <c r="L18" s="78"/>
      <c r="M18" s="78"/>
      <c r="N18" s="78"/>
      <c r="O18" s="78"/>
      <c r="P18" s="78"/>
      <c r="Q18" s="78"/>
      <c r="R18" s="78"/>
      <c r="S18" s="80" t="str">
        <f>AA24</f>
        <v>Leukemijos</v>
      </c>
      <c r="T18" s="78"/>
      <c r="U18" s="78"/>
      <c r="V18" s="31"/>
      <c r="W18" s="352" t="s">
        <v>217</v>
      </c>
      <c r="X18" s="352">
        <v>1</v>
      </c>
      <c r="Y18" s="367">
        <v>2.1739130434782608E-2</v>
      </c>
      <c r="Z18" s="352"/>
      <c r="AA18" s="352" t="s">
        <v>26</v>
      </c>
      <c r="AB18" s="352">
        <v>0</v>
      </c>
      <c r="AC18" s="367">
        <f>VALUE(0.001%)</f>
        <v>1.0000000000000001E-5</v>
      </c>
      <c r="AD18" s="352"/>
      <c r="AE18" s="31"/>
    </row>
    <row r="19" spans="1:31" ht="20.100000000000001" customHeight="1">
      <c r="A19" s="78"/>
      <c r="B19" s="78"/>
      <c r="C19" s="78"/>
      <c r="D19" s="78"/>
      <c r="E19" s="78"/>
      <c r="F19" s="78"/>
      <c r="G19" s="78"/>
      <c r="H19" s="78"/>
      <c r="I19" s="80" t="str">
        <f>W23</f>
        <v>Ne Hodžkino limfomos</v>
      </c>
      <c r="J19" s="80"/>
      <c r="K19" s="78"/>
      <c r="L19" s="78"/>
      <c r="M19" s="78"/>
      <c r="N19" s="78"/>
      <c r="O19" s="78"/>
      <c r="P19" s="78"/>
      <c r="Q19" s="78"/>
      <c r="R19" s="78"/>
      <c r="S19" s="80" t="str">
        <f>AA23</f>
        <v>Hodžkino limfomos</v>
      </c>
      <c r="T19" s="78"/>
      <c r="U19" s="78"/>
      <c r="V19" s="31"/>
      <c r="W19" s="352" t="s">
        <v>444</v>
      </c>
      <c r="X19" s="352">
        <v>1</v>
      </c>
      <c r="Y19" s="367">
        <v>2.1739130434782608E-2</v>
      </c>
      <c r="Z19" s="352"/>
      <c r="AA19" s="352" t="s">
        <v>228</v>
      </c>
      <c r="AB19" s="352">
        <v>1</v>
      </c>
      <c r="AC19" s="367">
        <v>3.5714285714285712E-2</v>
      </c>
      <c r="AD19" s="352"/>
      <c r="AE19" s="31"/>
    </row>
    <row r="20" spans="1:31" ht="20.100000000000001" customHeight="1">
      <c r="A20" s="78"/>
      <c r="B20" s="78"/>
      <c r="C20" s="78"/>
      <c r="D20" s="78"/>
      <c r="E20" s="78"/>
      <c r="F20" s="78"/>
      <c r="G20" s="78"/>
      <c r="H20" s="78"/>
      <c r="I20" s="80" t="str">
        <f>W22</f>
        <v>Kaulų ir jungiamojo audinio</v>
      </c>
      <c r="J20" s="80"/>
      <c r="K20" s="78"/>
      <c r="L20" s="78"/>
      <c r="M20" s="78"/>
      <c r="N20" s="78"/>
      <c r="O20" s="78"/>
      <c r="P20" s="78"/>
      <c r="Q20" s="78"/>
      <c r="R20" s="78"/>
      <c r="S20" s="80" t="str">
        <f>AA22</f>
        <v>Inkstų</v>
      </c>
      <c r="T20" s="78"/>
      <c r="U20" s="78"/>
      <c r="V20" s="31"/>
      <c r="W20" s="352" t="s">
        <v>235</v>
      </c>
      <c r="X20" s="352">
        <v>3</v>
      </c>
      <c r="Y20" s="367">
        <v>6.5217391304347824E-2</v>
      </c>
      <c r="Z20" s="352"/>
      <c r="AA20" s="352" t="s">
        <v>226</v>
      </c>
      <c r="AB20" s="352">
        <v>1</v>
      </c>
      <c r="AC20" s="367">
        <v>3.5714285714285712E-2</v>
      </c>
      <c r="AD20" s="352"/>
      <c r="AE20" s="31"/>
    </row>
    <row r="21" spans="1:31" ht="20.100000000000001" customHeight="1">
      <c r="A21" s="78"/>
      <c r="B21" s="78"/>
      <c r="C21" s="78"/>
      <c r="D21" s="78"/>
      <c r="E21" s="78"/>
      <c r="F21" s="78"/>
      <c r="G21" s="78"/>
      <c r="H21" s="78"/>
      <c r="I21" s="80" t="str">
        <f>W21</f>
        <v>Inkstų</v>
      </c>
      <c r="J21" s="80"/>
      <c r="K21" s="78"/>
      <c r="L21" s="78"/>
      <c r="M21" s="78"/>
      <c r="N21" s="78"/>
      <c r="O21" s="78"/>
      <c r="P21" s="78"/>
      <c r="Q21" s="78"/>
      <c r="R21" s="78"/>
      <c r="S21" s="80" t="str">
        <f>AA21</f>
        <v>Kiaušidžių</v>
      </c>
      <c r="T21" s="78"/>
      <c r="U21" s="78"/>
      <c r="V21" s="31"/>
      <c r="W21" s="352" t="s">
        <v>213</v>
      </c>
      <c r="X21" s="352">
        <v>4</v>
      </c>
      <c r="Y21" s="367">
        <v>8.6956521739130432E-2</v>
      </c>
      <c r="Z21" s="352"/>
      <c r="AA21" s="352" t="s">
        <v>231</v>
      </c>
      <c r="AB21" s="352">
        <v>2</v>
      </c>
      <c r="AC21" s="367">
        <v>7.1428571428571425E-2</v>
      </c>
      <c r="AD21" s="352"/>
      <c r="AE21" s="31"/>
    </row>
    <row r="22" spans="1:31" ht="20.100000000000001" customHeight="1">
      <c r="A22" s="78"/>
      <c r="B22" s="78"/>
      <c r="C22" s="78"/>
      <c r="D22" s="78"/>
      <c r="E22" s="78"/>
      <c r="F22" s="78"/>
      <c r="G22" s="78"/>
      <c r="H22" s="78"/>
      <c r="I22" s="80" t="str">
        <f>W20</f>
        <v>Akių</v>
      </c>
      <c r="J22" s="80"/>
      <c r="K22" s="78"/>
      <c r="L22" s="78"/>
      <c r="M22" s="78"/>
      <c r="N22" s="78"/>
      <c r="O22" s="78"/>
      <c r="P22" s="78"/>
      <c r="Q22" s="78"/>
      <c r="R22" s="78"/>
      <c r="S22" s="80" t="str">
        <f>AA20</f>
        <v>Ne Hodžkino limfomos</v>
      </c>
      <c r="T22" s="78"/>
      <c r="U22" s="78"/>
      <c r="V22" s="31"/>
      <c r="W22" s="352" t="s">
        <v>228</v>
      </c>
      <c r="X22" s="352">
        <v>6</v>
      </c>
      <c r="Y22" s="367">
        <v>0.13043478260869565</v>
      </c>
      <c r="Z22" s="352"/>
      <c r="AA22" s="352" t="s">
        <v>213</v>
      </c>
      <c r="AB22" s="352">
        <v>3</v>
      </c>
      <c r="AC22" s="367">
        <v>0.10714285714285714</v>
      </c>
      <c r="AD22" s="352"/>
      <c r="AE22" s="31"/>
    </row>
    <row r="23" spans="1:31" ht="20.100000000000001" customHeight="1">
      <c r="A23" s="78"/>
      <c r="B23" s="78"/>
      <c r="C23" s="78"/>
      <c r="D23" s="78"/>
      <c r="E23" s="78"/>
      <c r="F23" s="78"/>
      <c r="G23" s="78"/>
      <c r="H23" s="78"/>
      <c r="I23" s="80" t="str">
        <f>W19</f>
        <v>Kitų kvėpavimo sistemos organų</v>
      </c>
      <c r="J23" s="80"/>
      <c r="K23" s="78"/>
      <c r="L23" s="78"/>
      <c r="M23" s="78"/>
      <c r="N23" s="78"/>
      <c r="O23" s="78"/>
      <c r="P23" s="78"/>
      <c r="Q23" s="78"/>
      <c r="R23" s="78"/>
      <c r="S23" s="80" t="str">
        <f>AA19</f>
        <v>Kaulų ir jungiamojo audinio</v>
      </c>
      <c r="T23" s="78"/>
      <c r="U23" s="78"/>
      <c r="V23" s="31"/>
      <c r="W23" s="352" t="s">
        <v>226</v>
      </c>
      <c r="X23" s="352">
        <v>6</v>
      </c>
      <c r="Y23" s="367">
        <v>0.13043478260869565</v>
      </c>
      <c r="Z23" s="352"/>
      <c r="AA23" s="352" t="s">
        <v>223</v>
      </c>
      <c r="AB23" s="352">
        <v>4</v>
      </c>
      <c r="AC23" s="367">
        <v>0.14285714285714285</v>
      </c>
      <c r="AD23" s="352"/>
      <c r="AE23" s="31"/>
    </row>
    <row r="24" spans="1:31" ht="20.100000000000001" customHeight="1">
      <c r="A24" s="78"/>
      <c r="B24" s="78"/>
      <c r="C24" s="78"/>
      <c r="D24" s="78"/>
      <c r="E24" s="78"/>
      <c r="F24" s="78"/>
      <c r="G24" s="78"/>
      <c r="H24" s="78"/>
      <c r="I24" s="80" t="str">
        <f>W18</f>
        <v>Plaučių, trachėjos, bronchų</v>
      </c>
      <c r="J24" s="80"/>
      <c r="K24" s="78"/>
      <c r="L24" s="78"/>
      <c r="M24" s="78"/>
      <c r="N24" s="78"/>
      <c r="O24" s="78"/>
      <c r="P24" s="78"/>
      <c r="Q24" s="78"/>
      <c r="R24" s="78"/>
      <c r="S24" s="80"/>
      <c r="T24" s="78"/>
      <c r="U24" s="78"/>
      <c r="V24" s="31"/>
      <c r="W24" s="352" t="s">
        <v>225</v>
      </c>
      <c r="X24" s="352">
        <v>9</v>
      </c>
      <c r="Y24" s="367">
        <v>0.19565217391304349</v>
      </c>
      <c r="Z24" s="352"/>
      <c r="AA24" s="352" t="s">
        <v>227</v>
      </c>
      <c r="AB24" s="352">
        <v>7</v>
      </c>
      <c r="AC24" s="367">
        <v>0.25</v>
      </c>
      <c r="AD24" s="352"/>
      <c r="AE24" s="31"/>
    </row>
    <row r="25" spans="1:31" ht="20.100000000000001" customHeight="1">
      <c r="A25" s="78"/>
      <c r="B25" s="78"/>
      <c r="C25" s="78"/>
      <c r="D25" s="78"/>
      <c r="E25" s="78"/>
      <c r="F25" s="78"/>
      <c r="G25" s="78"/>
      <c r="H25" s="78"/>
      <c r="I25" s="80" t="str">
        <f>W17</f>
        <v>Kitų virškinimo sistemos organų</v>
      </c>
      <c r="J25" s="80"/>
      <c r="K25" s="78"/>
      <c r="L25" s="78"/>
      <c r="M25" s="78"/>
      <c r="N25" s="78"/>
      <c r="O25" s="78"/>
      <c r="P25" s="78"/>
      <c r="Q25" s="78"/>
      <c r="R25" s="78"/>
      <c r="S25" s="80" t="str">
        <f>TEXT(AA15,)</f>
        <v/>
      </c>
      <c r="T25" s="78"/>
      <c r="U25" s="78"/>
      <c r="V25" s="31"/>
      <c r="W25" s="352" t="s">
        <v>227</v>
      </c>
      <c r="X25" s="352">
        <v>13</v>
      </c>
      <c r="Y25" s="367">
        <v>0.28260869565217389</v>
      </c>
      <c r="Z25" s="352"/>
      <c r="AA25" s="352" t="s">
        <v>225</v>
      </c>
      <c r="AB25" s="352">
        <v>10</v>
      </c>
      <c r="AC25" s="367">
        <v>0.35714285714285715</v>
      </c>
      <c r="AD25" s="352"/>
      <c r="AE25" s="31"/>
    </row>
    <row r="26" spans="1:31" ht="20.100000000000001" customHeight="1">
      <c r="A26" s="78"/>
      <c r="B26" s="78"/>
      <c r="C26" s="78"/>
      <c r="D26" s="78"/>
      <c r="E26" s="78"/>
      <c r="F26" s="78"/>
      <c r="G26" s="78"/>
      <c r="H26" s="78"/>
      <c r="I26" s="80"/>
      <c r="J26" s="80"/>
      <c r="K26" s="78"/>
      <c r="L26" s="78"/>
      <c r="M26" s="78"/>
      <c r="N26" s="78"/>
      <c r="O26" s="78"/>
      <c r="P26" s="78"/>
      <c r="Q26" s="78"/>
      <c r="R26" s="78"/>
      <c r="S26" s="80" t="str">
        <f>TEXT(AA16,)</f>
        <v/>
      </c>
      <c r="T26" s="78"/>
      <c r="U26" s="78"/>
      <c r="V26" s="31"/>
      <c r="W26" s="366" t="s">
        <v>210</v>
      </c>
      <c r="X26" s="352">
        <v>46</v>
      </c>
      <c r="Y26" s="367">
        <v>1</v>
      </c>
      <c r="Z26" s="352"/>
      <c r="AA26" s="366" t="s">
        <v>210</v>
      </c>
      <c r="AB26" s="352">
        <v>28</v>
      </c>
      <c r="AC26" s="367">
        <v>1</v>
      </c>
      <c r="AD26" s="352"/>
      <c r="AE26" s="31"/>
    </row>
    <row r="27" spans="1:31" ht="20.100000000000001" customHeight="1">
      <c r="A27" s="78"/>
      <c r="B27" s="78"/>
      <c r="C27" s="78"/>
      <c r="D27" s="78"/>
      <c r="E27" s="78"/>
      <c r="F27" s="78"/>
      <c r="G27" s="78"/>
      <c r="H27" s="78"/>
      <c r="I27" s="80" t="str">
        <f>TEXT(W15,)</f>
        <v>Kiti</v>
      </c>
      <c r="J27" s="80"/>
      <c r="K27" s="78"/>
      <c r="L27" s="78"/>
      <c r="M27" s="78"/>
      <c r="N27" s="78"/>
      <c r="O27" s="78"/>
      <c r="P27" s="78"/>
      <c r="Q27" s="78"/>
      <c r="R27" s="78"/>
      <c r="S27" s="80" t="str">
        <f>TEXT(AA15,)</f>
        <v/>
      </c>
      <c r="T27" s="78"/>
      <c r="U27" s="78"/>
      <c r="V27" s="31"/>
      <c r="W27" s="504" t="s">
        <v>455</v>
      </c>
      <c r="X27" s="504"/>
      <c r="Y27" s="504"/>
      <c r="Z27" s="352"/>
      <c r="AA27" s="504" t="s">
        <v>461</v>
      </c>
      <c r="AB27" s="504"/>
      <c r="AC27" s="504"/>
      <c r="AD27" s="352"/>
      <c r="AE27" s="31"/>
    </row>
    <row r="28" spans="1:31" ht="24.95" customHeight="1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31"/>
      <c r="W28" s="352" t="s">
        <v>26</v>
      </c>
      <c r="X28" s="352">
        <v>5</v>
      </c>
      <c r="Y28" s="367">
        <v>8.0645161290322578E-2</v>
      </c>
      <c r="Z28" s="352"/>
      <c r="AA28" s="352" t="s">
        <v>26</v>
      </c>
      <c r="AB28" s="352">
        <v>19</v>
      </c>
      <c r="AC28" s="367">
        <v>0.17272727272727273</v>
      </c>
      <c r="AD28" s="352"/>
      <c r="AE28" s="31"/>
    </row>
    <row r="29" spans="1:31" ht="24.95" customHeight="1">
      <c r="A29" s="78"/>
      <c r="B29" s="78"/>
      <c r="C29" s="505" t="str">
        <f>W27</f>
        <v>Vyrai, 15-29 metų (62 atv.)</v>
      </c>
      <c r="D29" s="505"/>
      <c r="E29" s="505"/>
      <c r="F29" s="505"/>
      <c r="G29" s="505"/>
      <c r="H29" s="505"/>
      <c r="I29" s="505"/>
      <c r="J29" s="79"/>
      <c r="K29" s="78"/>
      <c r="L29" s="78"/>
      <c r="M29" s="505" t="str">
        <f>AA27</f>
        <v>Moterys, 15-29 metų (110 atv.)</v>
      </c>
      <c r="N29" s="505"/>
      <c r="O29" s="505"/>
      <c r="P29" s="505"/>
      <c r="Q29" s="505"/>
      <c r="R29" s="505"/>
      <c r="S29" s="505"/>
      <c r="T29" s="78"/>
      <c r="U29" s="78"/>
      <c r="V29" s="31"/>
      <c r="W29" s="352" t="s">
        <v>211</v>
      </c>
      <c r="X29" s="352">
        <v>2</v>
      </c>
      <c r="Y29" s="367">
        <v>3.2258064516129031E-2</v>
      </c>
      <c r="Z29" s="352"/>
      <c r="AA29" s="352" t="s">
        <v>234</v>
      </c>
      <c r="AB29" s="352">
        <v>4</v>
      </c>
      <c r="AC29" s="367">
        <v>3.6363636363636362E-2</v>
      </c>
      <c r="AD29" s="352"/>
      <c r="AE29" s="31"/>
    </row>
    <row r="30" spans="1:31" ht="20.100000000000001" customHeight="1">
      <c r="A30" s="78"/>
      <c r="B30" s="78"/>
      <c r="C30" s="78"/>
      <c r="D30" s="78"/>
      <c r="E30" s="78"/>
      <c r="F30" s="78"/>
      <c r="G30" s="78"/>
      <c r="H30" s="78"/>
      <c r="I30" s="80" t="str">
        <f>W38</f>
        <v>Leukemijos</v>
      </c>
      <c r="J30" s="78"/>
      <c r="K30" s="78"/>
      <c r="L30" s="78"/>
      <c r="M30" s="78"/>
      <c r="N30" s="78"/>
      <c r="O30" s="78"/>
      <c r="P30" s="78"/>
      <c r="Q30" s="78"/>
      <c r="R30" s="78"/>
      <c r="S30" s="80" t="str">
        <f>AA38</f>
        <v>Skydliaukės</v>
      </c>
      <c r="T30" s="78"/>
      <c r="U30" s="78"/>
      <c r="V30" s="31"/>
      <c r="W30" s="352" t="s">
        <v>214</v>
      </c>
      <c r="X30" s="352">
        <v>3</v>
      </c>
      <c r="Y30" s="367">
        <v>4.8387096774193547E-2</v>
      </c>
      <c r="Z30" s="352"/>
      <c r="AA30" s="352" t="s">
        <v>229</v>
      </c>
      <c r="AB30" s="352">
        <v>5</v>
      </c>
      <c r="AC30" s="367">
        <v>4.5454545454545456E-2</v>
      </c>
      <c r="AD30" s="352"/>
      <c r="AE30" s="31"/>
    </row>
    <row r="31" spans="1:31" ht="20.100000000000001" customHeight="1">
      <c r="A31" s="78"/>
      <c r="B31" s="78"/>
      <c r="C31" s="78"/>
      <c r="D31" s="78"/>
      <c r="E31" s="78"/>
      <c r="F31" s="78"/>
      <c r="G31" s="78"/>
      <c r="H31" s="78"/>
      <c r="I31" s="80" t="str">
        <f>W37</f>
        <v>Sėklidžių</v>
      </c>
      <c r="J31" s="78"/>
      <c r="K31" s="78"/>
      <c r="L31" s="78"/>
      <c r="M31" s="78"/>
      <c r="N31" s="78"/>
      <c r="O31" s="78"/>
      <c r="P31" s="78"/>
      <c r="Q31" s="78"/>
      <c r="R31" s="78"/>
      <c r="S31" s="80" t="str">
        <f>AA37</f>
        <v>Hodžkino limfomos</v>
      </c>
      <c r="T31" s="78"/>
      <c r="U31" s="78"/>
      <c r="V31" s="31"/>
      <c r="W31" s="352" t="s">
        <v>229</v>
      </c>
      <c r="X31" s="352">
        <v>3</v>
      </c>
      <c r="Y31" s="367">
        <v>4.8387096774193547E-2</v>
      </c>
      <c r="Z31" s="352"/>
      <c r="AA31" s="352" t="s">
        <v>228</v>
      </c>
      <c r="AB31" s="352">
        <v>7</v>
      </c>
      <c r="AC31" s="367">
        <v>6.363636363636363E-2</v>
      </c>
      <c r="AD31" s="352"/>
      <c r="AE31" s="31"/>
    </row>
    <row r="32" spans="1:31" ht="20.100000000000001" customHeight="1">
      <c r="A32" s="78"/>
      <c r="B32" s="78"/>
      <c r="C32" s="78"/>
      <c r="D32" s="78"/>
      <c r="E32" s="78"/>
      <c r="F32" s="78"/>
      <c r="G32" s="78"/>
      <c r="H32" s="78"/>
      <c r="I32" s="80" t="str">
        <f>W36</f>
        <v>Kiti odos piktybiniai navikai</v>
      </c>
      <c r="J32" s="78"/>
      <c r="K32" s="78"/>
      <c r="L32" s="78"/>
      <c r="M32" s="78"/>
      <c r="N32" s="78"/>
      <c r="O32" s="78"/>
      <c r="P32" s="78"/>
      <c r="Q32" s="78"/>
      <c r="R32" s="78"/>
      <c r="S32" s="80" t="str">
        <f>AA36</f>
        <v>Kiaušidžių</v>
      </c>
      <c r="T32" s="78"/>
      <c r="U32" s="78"/>
      <c r="V32" s="31"/>
      <c r="W32" s="352" t="s">
        <v>225</v>
      </c>
      <c r="X32" s="352">
        <v>3</v>
      </c>
      <c r="Y32" s="367">
        <v>4.8387096774193547E-2</v>
      </c>
      <c r="Z32" s="352"/>
      <c r="AA32" s="352" t="s">
        <v>225</v>
      </c>
      <c r="AB32" s="352">
        <v>7</v>
      </c>
      <c r="AC32" s="367">
        <v>6.363636363636363E-2</v>
      </c>
      <c r="AD32" s="352"/>
      <c r="AE32" s="31"/>
    </row>
    <row r="33" spans="1:31" ht="20.100000000000001" customHeight="1">
      <c r="A33" s="78"/>
      <c r="B33" s="78"/>
      <c r="C33" s="78"/>
      <c r="D33" s="78"/>
      <c r="E33" s="78"/>
      <c r="F33" s="78"/>
      <c r="G33" s="78"/>
      <c r="H33" s="78"/>
      <c r="I33" s="80" t="str">
        <f>W35</f>
        <v>Hodžkino limfomos</v>
      </c>
      <c r="J33" s="78"/>
      <c r="K33" s="78"/>
      <c r="L33" s="78"/>
      <c r="M33" s="78"/>
      <c r="N33" s="78"/>
      <c r="O33" s="78"/>
      <c r="P33" s="78"/>
      <c r="Q33" s="78"/>
      <c r="R33" s="78"/>
      <c r="S33" s="80" t="str">
        <f>AA35</f>
        <v>Gimdos kaklelio</v>
      </c>
      <c r="T33" s="78"/>
      <c r="U33" s="78"/>
      <c r="V33" s="31"/>
      <c r="W33" s="352" t="s">
        <v>222</v>
      </c>
      <c r="X33" s="352">
        <v>4</v>
      </c>
      <c r="Y33" s="367">
        <v>6.4516129032258063E-2</v>
      </c>
      <c r="Z33" s="352"/>
      <c r="AA33" s="352" t="s">
        <v>226</v>
      </c>
      <c r="AB33" s="352">
        <v>8</v>
      </c>
      <c r="AC33" s="367">
        <v>7.2727272727272724E-2</v>
      </c>
      <c r="AD33" s="352"/>
      <c r="AE33" s="31"/>
    </row>
    <row r="34" spans="1:31" ht="20.100000000000001" customHeight="1">
      <c r="A34" s="78"/>
      <c r="B34" s="78"/>
      <c r="C34" s="78"/>
      <c r="D34" s="78"/>
      <c r="E34" s="78"/>
      <c r="F34" s="78"/>
      <c r="G34" s="78"/>
      <c r="H34" s="78"/>
      <c r="I34" s="80" t="str">
        <f>W34</f>
        <v>Ne Hodžkino limfomos</v>
      </c>
      <c r="J34" s="78"/>
      <c r="K34" s="78"/>
      <c r="L34" s="78"/>
      <c r="M34" s="78"/>
      <c r="N34" s="78"/>
      <c r="O34" s="78"/>
      <c r="P34" s="78"/>
      <c r="Q34" s="78"/>
      <c r="R34" s="78"/>
      <c r="S34" s="80" t="str">
        <f>AA34</f>
        <v>Kiti odos piktybiniai navikai</v>
      </c>
      <c r="T34" s="78"/>
      <c r="U34" s="78"/>
      <c r="V34" s="31"/>
      <c r="W34" s="352" t="s">
        <v>226</v>
      </c>
      <c r="X34" s="352">
        <v>4</v>
      </c>
      <c r="Y34" s="367">
        <v>6.4516129032258063E-2</v>
      </c>
      <c r="Z34" s="352"/>
      <c r="AA34" s="352" t="s">
        <v>216</v>
      </c>
      <c r="AB34" s="352">
        <v>10</v>
      </c>
      <c r="AC34" s="367">
        <v>9.0909090909090912E-2</v>
      </c>
      <c r="AD34" s="352"/>
      <c r="AE34" s="31"/>
    </row>
    <row r="35" spans="1:31" ht="20.100000000000001" customHeight="1">
      <c r="A35" s="78"/>
      <c r="B35" s="78"/>
      <c r="C35" s="78"/>
      <c r="D35" s="78"/>
      <c r="E35" s="78"/>
      <c r="F35" s="78"/>
      <c r="G35" s="78"/>
      <c r="H35" s="78"/>
      <c r="I35" s="80" t="str">
        <f>W33</f>
        <v>Skydliaukės</v>
      </c>
      <c r="J35" s="78"/>
      <c r="K35" s="78"/>
      <c r="L35" s="78"/>
      <c r="M35" s="78"/>
      <c r="N35" s="78"/>
      <c r="O35" s="78"/>
      <c r="P35" s="78"/>
      <c r="Q35" s="78"/>
      <c r="R35" s="78"/>
      <c r="S35" s="80" t="str">
        <f>AA33</f>
        <v>Ne Hodžkino limfomos</v>
      </c>
      <c r="T35" s="78"/>
      <c r="U35" s="78"/>
      <c r="V35" s="31"/>
      <c r="W35" s="352" t="s">
        <v>223</v>
      </c>
      <c r="X35" s="352">
        <v>7</v>
      </c>
      <c r="Y35" s="367">
        <v>0.11290322580645161</v>
      </c>
      <c r="Z35" s="352"/>
      <c r="AA35" s="352" t="s">
        <v>232</v>
      </c>
      <c r="AB35" s="352">
        <v>10</v>
      </c>
      <c r="AC35" s="367">
        <v>9.0909090909090912E-2</v>
      </c>
      <c r="AD35" s="352"/>
      <c r="AE35" s="31"/>
    </row>
    <row r="36" spans="1:31" ht="20.100000000000001" customHeight="1">
      <c r="A36" s="78"/>
      <c r="B36" s="78"/>
      <c r="C36" s="78"/>
      <c r="D36" s="78"/>
      <c r="E36" s="78"/>
      <c r="F36" s="78"/>
      <c r="G36" s="78"/>
      <c r="H36" s="78"/>
      <c r="I36" s="80" t="str">
        <f>W32</f>
        <v>Smegenų</v>
      </c>
      <c r="J36" s="78"/>
      <c r="K36" s="78"/>
      <c r="L36" s="78"/>
      <c r="M36" s="78"/>
      <c r="N36" s="78"/>
      <c r="O36" s="78"/>
      <c r="P36" s="78"/>
      <c r="Q36" s="78"/>
      <c r="R36" s="78"/>
      <c r="S36" s="80" t="str">
        <f>AA32</f>
        <v>Smegenų</v>
      </c>
      <c r="T36" s="78"/>
      <c r="U36" s="78"/>
      <c r="V36" s="31"/>
      <c r="W36" s="352" t="s">
        <v>216</v>
      </c>
      <c r="X36" s="352">
        <v>8</v>
      </c>
      <c r="Y36" s="367">
        <v>0.12903225806451613</v>
      </c>
      <c r="Z36" s="352"/>
      <c r="AA36" s="352" t="s">
        <v>231</v>
      </c>
      <c r="AB36" s="352">
        <v>10</v>
      </c>
      <c r="AC36" s="367">
        <v>9.0909090909090912E-2</v>
      </c>
      <c r="AD36" s="352"/>
      <c r="AE36" s="31"/>
    </row>
    <row r="37" spans="1:31" ht="20.100000000000001" customHeight="1">
      <c r="A37" s="78"/>
      <c r="B37" s="78"/>
      <c r="C37" s="78"/>
      <c r="D37" s="78"/>
      <c r="E37" s="78"/>
      <c r="F37" s="78"/>
      <c r="G37" s="78"/>
      <c r="H37" s="78"/>
      <c r="I37" s="80" t="str">
        <f>W31</f>
        <v>Odos melanoma</v>
      </c>
      <c r="J37" s="78"/>
      <c r="K37" s="78"/>
      <c r="L37" s="78"/>
      <c r="M37" s="78"/>
      <c r="N37" s="78"/>
      <c r="O37" s="78"/>
      <c r="P37" s="78"/>
      <c r="Q37" s="78"/>
      <c r="R37" s="78"/>
      <c r="S37" s="80" t="str">
        <f>AA31</f>
        <v>Kaulų ir jungiamojo audinio</v>
      </c>
      <c r="T37" s="78"/>
      <c r="U37" s="78"/>
      <c r="V37" s="31"/>
      <c r="W37" s="352" t="s">
        <v>221</v>
      </c>
      <c r="X37" s="352">
        <v>11</v>
      </c>
      <c r="Y37" s="367">
        <v>0.17741935483870969</v>
      </c>
      <c r="Z37" s="352"/>
      <c r="AA37" s="352" t="s">
        <v>223</v>
      </c>
      <c r="AB37" s="352">
        <v>10</v>
      </c>
      <c r="AC37" s="367">
        <v>9.0909090909090912E-2</v>
      </c>
      <c r="AD37" s="352"/>
      <c r="AE37" s="31"/>
    </row>
    <row r="38" spans="1:31" ht="20.100000000000001" customHeight="1">
      <c r="A38" s="78"/>
      <c r="B38" s="78"/>
      <c r="C38" s="78"/>
      <c r="D38" s="78"/>
      <c r="E38" s="78"/>
      <c r="F38" s="78"/>
      <c r="G38" s="78"/>
      <c r="H38" s="78"/>
      <c r="I38" s="80" t="str">
        <f>W30</f>
        <v>Gaubtinės žarnos</v>
      </c>
      <c r="J38" s="78"/>
      <c r="K38" s="78"/>
      <c r="L38" s="78"/>
      <c r="M38" s="78"/>
      <c r="N38" s="78"/>
      <c r="O38" s="78"/>
      <c r="P38" s="78"/>
      <c r="Q38" s="78"/>
      <c r="R38" s="78"/>
      <c r="S38" s="80" t="str">
        <f>AA30</f>
        <v>Odos melanoma</v>
      </c>
      <c r="T38" s="78"/>
      <c r="U38" s="78"/>
      <c r="V38" s="31"/>
      <c r="W38" s="352" t="s">
        <v>227</v>
      </c>
      <c r="X38" s="352">
        <v>12</v>
      </c>
      <c r="Y38" s="367">
        <v>0.19354838709677419</v>
      </c>
      <c r="Z38" s="352"/>
      <c r="AA38" s="352" t="s">
        <v>222</v>
      </c>
      <c r="AB38" s="352">
        <v>20</v>
      </c>
      <c r="AC38" s="367">
        <v>0.18181818181818182</v>
      </c>
      <c r="AD38" s="352"/>
      <c r="AE38" s="31"/>
    </row>
    <row r="39" spans="1:31" ht="20.100000000000001" customHeight="1">
      <c r="A39" s="78"/>
      <c r="B39" s="78"/>
      <c r="C39" s="78"/>
      <c r="D39" s="78"/>
      <c r="E39" s="78"/>
      <c r="F39" s="78"/>
      <c r="G39" s="78"/>
      <c r="H39" s="78"/>
      <c r="I39" s="80" t="str">
        <f>W29</f>
        <v>Burnos ertmės ir ryklės</v>
      </c>
      <c r="J39" s="78"/>
      <c r="K39" s="78"/>
      <c r="L39" s="78"/>
      <c r="M39" s="78"/>
      <c r="N39" s="78"/>
      <c r="O39" s="78"/>
      <c r="P39" s="78"/>
      <c r="Q39" s="78"/>
      <c r="R39" s="78"/>
      <c r="S39" s="80" t="str">
        <f>AA29</f>
        <v>Krūties</v>
      </c>
      <c r="T39" s="78"/>
      <c r="U39" s="78"/>
      <c r="V39" s="31"/>
      <c r="W39" s="366" t="s">
        <v>210</v>
      </c>
      <c r="X39" s="352">
        <v>62</v>
      </c>
      <c r="Y39" s="367">
        <v>1</v>
      </c>
      <c r="Z39" s="352"/>
      <c r="AA39" s="366" t="s">
        <v>210</v>
      </c>
      <c r="AB39" s="352">
        <v>110</v>
      </c>
      <c r="AC39" s="367">
        <v>1.0000000000000002</v>
      </c>
      <c r="AD39" s="352"/>
      <c r="AE39" s="31"/>
    </row>
    <row r="40" spans="1:31" ht="20.100000000000001" customHeight="1">
      <c r="A40" s="78"/>
      <c r="B40" s="78"/>
      <c r="C40" s="78"/>
      <c r="D40" s="78"/>
      <c r="E40" s="78"/>
      <c r="F40" s="78"/>
      <c r="G40" s="78"/>
      <c r="H40" s="78"/>
      <c r="I40" s="80" t="str">
        <f>W28</f>
        <v>Kiti</v>
      </c>
      <c r="J40" s="78"/>
      <c r="K40" s="78"/>
      <c r="L40" s="78"/>
      <c r="M40" s="78"/>
      <c r="N40" s="78"/>
      <c r="O40" s="78"/>
      <c r="P40" s="78"/>
      <c r="Q40" s="78"/>
      <c r="R40" s="78"/>
      <c r="S40" s="80" t="str">
        <f>AA28</f>
        <v>Kiti</v>
      </c>
      <c r="T40" s="78"/>
      <c r="U40" s="78"/>
      <c r="V40" s="31"/>
      <c r="W40" s="352" t="s">
        <v>456</v>
      </c>
      <c r="X40" s="352"/>
      <c r="Y40" s="352"/>
      <c r="Z40" s="352"/>
      <c r="AA40" s="352" t="s">
        <v>462</v>
      </c>
      <c r="AB40" s="352"/>
      <c r="AC40" s="352"/>
      <c r="AD40" s="352"/>
      <c r="AE40" s="31"/>
    </row>
    <row r="41" spans="1:31" ht="24.9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31"/>
      <c r="W41" s="504" t="s">
        <v>26</v>
      </c>
      <c r="X41" s="504">
        <v>304</v>
      </c>
      <c r="Y41" s="506">
        <v>0.25375626043405675</v>
      </c>
      <c r="Z41" s="352"/>
      <c r="AA41" s="504" t="s">
        <v>26</v>
      </c>
      <c r="AB41" s="504">
        <v>286</v>
      </c>
      <c r="AC41" s="506">
        <v>0.17125748502994012</v>
      </c>
      <c r="AD41" s="352"/>
      <c r="AE41" s="31"/>
    </row>
    <row r="42" spans="1:31" ht="24.9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52" t="s">
        <v>230</v>
      </c>
      <c r="X42" s="352">
        <v>36</v>
      </c>
      <c r="Y42" s="367">
        <v>3.0050083472454091E-2</v>
      </c>
      <c r="Z42" s="352"/>
      <c r="AA42" s="352" t="s">
        <v>215</v>
      </c>
      <c r="AB42" s="352">
        <v>37</v>
      </c>
      <c r="AC42" s="367">
        <v>2.215568862275449E-2</v>
      </c>
      <c r="AD42" s="352"/>
      <c r="AE42" s="31"/>
    </row>
    <row r="43" spans="1:31" ht="24.95" customHeight="1">
      <c r="A43" s="78"/>
      <c r="B43" s="78"/>
      <c r="C43" s="505" t="str">
        <f>W40</f>
        <v>Vyrai, 30-54 metų (1198 atv.)</v>
      </c>
      <c r="D43" s="505"/>
      <c r="E43" s="505"/>
      <c r="F43" s="505"/>
      <c r="G43" s="505"/>
      <c r="H43" s="505"/>
      <c r="I43" s="505"/>
      <c r="J43" s="81"/>
      <c r="K43" s="78"/>
      <c r="L43" s="78"/>
      <c r="M43" s="505" t="str">
        <f>AA40</f>
        <v>Moterys, 30-54 metų (1670 atv.)</v>
      </c>
      <c r="N43" s="505"/>
      <c r="O43" s="505"/>
      <c r="P43" s="505"/>
      <c r="Q43" s="505"/>
      <c r="R43" s="505"/>
      <c r="S43" s="505"/>
      <c r="T43" s="78"/>
      <c r="U43" s="78"/>
      <c r="V43" s="31"/>
      <c r="W43" s="352" t="s">
        <v>227</v>
      </c>
      <c r="X43" s="352">
        <v>37</v>
      </c>
      <c r="Y43" s="367">
        <v>3.0884808013355594E-2</v>
      </c>
      <c r="Z43" s="352"/>
      <c r="AA43" s="352" t="s">
        <v>226</v>
      </c>
      <c r="AB43" s="352">
        <v>37</v>
      </c>
      <c r="AC43" s="367">
        <v>2.215568862275449E-2</v>
      </c>
      <c r="AD43" s="352"/>
      <c r="AE43" s="31"/>
    </row>
    <row r="44" spans="1:31" ht="20.100000000000001" customHeight="1">
      <c r="A44" s="78"/>
      <c r="B44" s="78"/>
      <c r="C44" s="78"/>
      <c r="D44" s="78"/>
      <c r="E44" s="78"/>
      <c r="F44" s="78"/>
      <c r="G44" s="78"/>
      <c r="H44" s="78"/>
      <c r="I44" s="80" t="str">
        <f>W51</f>
        <v>Priešinės liaukos</v>
      </c>
      <c r="J44" s="78"/>
      <c r="K44" s="78"/>
      <c r="L44" s="78"/>
      <c r="M44" s="78"/>
      <c r="N44" s="78"/>
      <c r="O44" s="78"/>
      <c r="P44" s="78"/>
      <c r="Q44" s="78"/>
      <c r="R44" s="78"/>
      <c r="S44" s="80" t="str">
        <f>AA51</f>
        <v>Krūties</v>
      </c>
      <c r="T44" s="78"/>
      <c r="U44" s="78"/>
      <c r="V44" s="31"/>
      <c r="W44" s="352" t="s">
        <v>219</v>
      </c>
      <c r="X44" s="352">
        <v>43</v>
      </c>
      <c r="Y44" s="367">
        <v>3.589315525876461E-2</v>
      </c>
      <c r="Z44" s="352"/>
      <c r="AA44" s="352" t="s">
        <v>214</v>
      </c>
      <c r="AB44" s="352">
        <v>38</v>
      </c>
      <c r="AC44" s="367">
        <v>2.2754491017964073E-2</v>
      </c>
      <c r="AD44" s="352"/>
      <c r="AE44" s="31"/>
    </row>
    <row r="45" spans="1:31" ht="20.100000000000001" customHeight="1">
      <c r="A45" s="78"/>
      <c r="B45" s="78"/>
      <c r="C45" s="78"/>
      <c r="D45" s="78"/>
      <c r="E45" s="78"/>
      <c r="F45" s="78"/>
      <c r="G45" s="78"/>
      <c r="H45" s="78"/>
      <c r="I45" s="80" t="str">
        <f>W50</f>
        <v>Plaučių, trachėjos, bronchų</v>
      </c>
      <c r="J45" s="78"/>
      <c r="K45" s="78"/>
      <c r="L45" s="78"/>
      <c r="M45" s="78"/>
      <c r="N45" s="78"/>
      <c r="O45" s="78"/>
      <c r="P45" s="78"/>
      <c r="Q45" s="78"/>
      <c r="R45" s="78"/>
      <c r="S45" s="80" t="str">
        <f>AA50</f>
        <v>Kiti odos piktybiniai navikai</v>
      </c>
      <c r="T45" s="78"/>
      <c r="U45" s="78"/>
      <c r="V45" s="31"/>
      <c r="W45" s="352" t="s">
        <v>229</v>
      </c>
      <c r="X45" s="352">
        <v>44</v>
      </c>
      <c r="Y45" s="367">
        <v>3.6727879799666109E-2</v>
      </c>
      <c r="Z45" s="352"/>
      <c r="AA45" s="352" t="s">
        <v>229</v>
      </c>
      <c r="AB45" s="352">
        <v>40</v>
      </c>
      <c r="AC45" s="367">
        <v>2.3952095808383235E-2</v>
      </c>
      <c r="AD45" s="352"/>
      <c r="AE45" s="31"/>
    </row>
    <row r="46" spans="1:31" ht="20.100000000000001" customHeight="1">
      <c r="A46" s="78"/>
      <c r="B46" s="78"/>
      <c r="C46" s="78"/>
      <c r="D46" s="78"/>
      <c r="E46" s="78"/>
      <c r="F46" s="78"/>
      <c r="G46" s="78"/>
      <c r="H46" s="78"/>
      <c r="I46" s="80" t="str">
        <f>W49</f>
        <v>Kiti odos piktybiniai navikai</v>
      </c>
      <c r="J46" s="78"/>
      <c r="K46" s="78"/>
      <c r="L46" s="78"/>
      <c r="M46" s="78"/>
      <c r="N46" s="78"/>
      <c r="O46" s="78"/>
      <c r="P46" s="78"/>
      <c r="Q46" s="78"/>
      <c r="R46" s="78"/>
      <c r="S46" s="80" t="str">
        <f>AA49</f>
        <v>Gimdos kaklelio</v>
      </c>
      <c r="T46" s="78"/>
      <c r="U46" s="78"/>
      <c r="V46" s="31"/>
      <c r="W46" s="352" t="s">
        <v>215</v>
      </c>
      <c r="X46" s="352">
        <v>70</v>
      </c>
      <c r="Y46" s="367">
        <v>5.8430717863105178E-2</v>
      </c>
      <c r="Z46" s="352"/>
      <c r="AA46" s="352" t="s">
        <v>231</v>
      </c>
      <c r="AB46" s="352">
        <v>89</v>
      </c>
      <c r="AC46" s="367">
        <v>5.3293413173652694E-2</v>
      </c>
      <c r="AD46" s="352"/>
      <c r="AE46" s="31"/>
    </row>
    <row r="47" spans="1:31" ht="20.100000000000001" customHeight="1">
      <c r="A47" s="78"/>
      <c r="B47" s="78"/>
      <c r="C47" s="78"/>
      <c r="D47" s="78"/>
      <c r="E47" s="78"/>
      <c r="F47" s="78"/>
      <c r="G47" s="78"/>
      <c r="H47" s="78"/>
      <c r="I47" s="80" t="str">
        <f>W48</f>
        <v>Burnos ertmės ir ryklės</v>
      </c>
      <c r="J47" s="78"/>
      <c r="K47" s="78"/>
      <c r="L47" s="78"/>
      <c r="M47" s="78"/>
      <c r="N47" s="78"/>
      <c r="O47" s="78"/>
      <c r="P47" s="78"/>
      <c r="Q47" s="78"/>
      <c r="R47" s="78"/>
      <c r="S47" s="80" t="str">
        <f>AA48</f>
        <v>Gimdos kūno</v>
      </c>
      <c r="T47" s="78"/>
      <c r="U47" s="78"/>
      <c r="V47" s="31"/>
      <c r="W47" s="352" t="s">
        <v>213</v>
      </c>
      <c r="X47" s="352">
        <v>74</v>
      </c>
      <c r="Y47" s="367">
        <v>6.1769616026711188E-2</v>
      </c>
      <c r="Z47" s="352"/>
      <c r="AA47" s="352" t="s">
        <v>222</v>
      </c>
      <c r="AB47" s="352">
        <v>126</v>
      </c>
      <c r="AC47" s="367">
        <v>7.5449101796407181E-2</v>
      </c>
      <c r="AD47" s="352"/>
      <c r="AE47" s="31"/>
    </row>
    <row r="48" spans="1:31" ht="20.100000000000001" customHeight="1">
      <c r="A48" s="78"/>
      <c r="B48" s="78"/>
      <c r="C48" s="78"/>
      <c r="D48" s="78"/>
      <c r="E48" s="78"/>
      <c r="F48" s="78"/>
      <c r="G48" s="78"/>
      <c r="H48" s="78"/>
      <c r="I48" s="80" t="str">
        <f>W47</f>
        <v>Inkstų</v>
      </c>
      <c r="J48" s="78"/>
      <c r="K48" s="78"/>
      <c r="L48" s="78"/>
      <c r="M48" s="78"/>
      <c r="N48" s="78"/>
      <c r="O48" s="78"/>
      <c r="P48" s="78"/>
      <c r="Q48" s="78"/>
      <c r="R48" s="78"/>
      <c r="S48" s="80" t="str">
        <f>AA47</f>
        <v>Skydliaukės</v>
      </c>
      <c r="T48" s="78"/>
      <c r="U48" s="78"/>
      <c r="V48" s="31"/>
      <c r="W48" s="352" t="s">
        <v>211</v>
      </c>
      <c r="X48" s="352">
        <v>79</v>
      </c>
      <c r="Y48" s="367">
        <v>6.5943238731218698E-2</v>
      </c>
      <c r="Z48" s="352"/>
      <c r="AA48" s="352" t="s">
        <v>233</v>
      </c>
      <c r="AB48" s="352">
        <v>135</v>
      </c>
      <c r="AC48" s="367">
        <v>8.0838323353293412E-2</v>
      </c>
      <c r="AD48" s="352"/>
      <c r="AE48" s="31"/>
    </row>
    <row r="49" spans="1:31" ht="20.100000000000001" customHeight="1">
      <c r="A49" s="78"/>
      <c r="B49" s="78"/>
      <c r="C49" s="78"/>
      <c r="D49" s="78"/>
      <c r="E49" s="78"/>
      <c r="F49" s="78"/>
      <c r="G49" s="78"/>
      <c r="H49" s="78"/>
      <c r="I49" s="80" t="str">
        <f>W46</f>
        <v>Skrandžio</v>
      </c>
      <c r="J49" s="78"/>
      <c r="K49" s="78"/>
      <c r="L49" s="78"/>
      <c r="M49" s="78"/>
      <c r="N49" s="78"/>
      <c r="O49" s="78"/>
      <c r="P49" s="78"/>
      <c r="Q49" s="78"/>
      <c r="R49" s="78"/>
      <c r="S49" s="80" t="str">
        <f>AA46</f>
        <v>Kiaušidžių</v>
      </c>
      <c r="T49" s="78"/>
      <c r="U49" s="78"/>
      <c r="V49" s="31"/>
      <c r="W49" s="352" t="s">
        <v>216</v>
      </c>
      <c r="X49" s="352">
        <v>109</v>
      </c>
      <c r="Y49" s="367">
        <v>9.098497495826377E-2</v>
      </c>
      <c r="Z49" s="352"/>
      <c r="AA49" s="352" t="s">
        <v>232</v>
      </c>
      <c r="AB49" s="352">
        <v>171</v>
      </c>
      <c r="AC49" s="367">
        <v>0.10239520958083832</v>
      </c>
      <c r="AD49" s="352"/>
      <c r="AE49" s="31"/>
    </row>
    <row r="50" spans="1:31" ht="20.100000000000001" customHeight="1">
      <c r="A50" s="78"/>
      <c r="B50" s="78"/>
      <c r="C50" s="78"/>
      <c r="D50" s="78"/>
      <c r="E50" s="78"/>
      <c r="F50" s="78"/>
      <c r="G50" s="78"/>
      <c r="H50" s="78"/>
      <c r="I50" s="80" t="str">
        <f>W45</f>
        <v>Odos melanoma</v>
      </c>
      <c r="J50" s="78"/>
      <c r="K50" s="78"/>
      <c r="L50" s="78"/>
      <c r="M50" s="78"/>
      <c r="N50" s="78"/>
      <c r="O50" s="78"/>
      <c r="P50" s="78"/>
      <c r="Q50" s="78"/>
      <c r="R50" s="78"/>
      <c r="S50" s="80" t="str">
        <f>AA45</f>
        <v>Odos melanoma</v>
      </c>
      <c r="T50" s="78"/>
      <c r="U50" s="78"/>
      <c r="V50" s="31"/>
      <c r="W50" s="352" t="s">
        <v>217</v>
      </c>
      <c r="X50" s="352">
        <v>122</v>
      </c>
      <c r="Y50" s="367">
        <v>0.1018363939899833</v>
      </c>
      <c r="Z50" s="352"/>
      <c r="AA50" s="352" t="s">
        <v>216</v>
      </c>
      <c r="AB50" s="352">
        <v>176</v>
      </c>
      <c r="AC50" s="367">
        <v>0.10538922155688622</v>
      </c>
      <c r="AD50" s="352"/>
      <c r="AE50" s="31"/>
    </row>
    <row r="51" spans="1:31" ht="20.100000000000001" customHeight="1">
      <c r="A51" s="78"/>
      <c r="B51" s="78"/>
      <c r="C51" s="78"/>
      <c r="D51" s="78"/>
      <c r="E51" s="78"/>
      <c r="F51" s="78"/>
      <c r="G51" s="78"/>
      <c r="H51" s="78"/>
      <c r="I51" s="80" t="str">
        <f>W44</f>
        <v>Kasos</v>
      </c>
      <c r="J51" s="78"/>
      <c r="K51" s="78"/>
      <c r="L51" s="78"/>
      <c r="M51" s="78"/>
      <c r="N51" s="78"/>
      <c r="O51" s="78"/>
      <c r="P51" s="78"/>
      <c r="Q51" s="78"/>
      <c r="R51" s="78"/>
      <c r="S51" s="80" t="str">
        <f>AA44</f>
        <v>Gaubtinės žarnos</v>
      </c>
      <c r="T51" s="78"/>
      <c r="U51" s="78"/>
      <c r="V51" s="31"/>
      <c r="W51" s="352" t="s">
        <v>218</v>
      </c>
      <c r="X51" s="352">
        <v>280</v>
      </c>
      <c r="Y51" s="367">
        <v>0.23372287145242071</v>
      </c>
      <c r="Z51" s="352"/>
      <c r="AA51" s="352" t="s">
        <v>234</v>
      </c>
      <c r="AB51" s="352">
        <v>535</v>
      </c>
      <c r="AC51" s="367">
        <v>0.32035928143712578</v>
      </c>
      <c r="AD51" s="352"/>
      <c r="AE51" s="31"/>
    </row>
    <row r="52" spans="1:31" ht="20.100000000000001" customHeight="1">
      <c r="A52" s="78"/>
      <c r="B52" s="78"/>
      <c r="C52" s="78"/>
      <c r="D52" s="78"/>
      <c r="E52" s="78"/>
      <c r="F52" s="78"/>
      <c r="G52" s="78"/>
      <c r="H52" s="78"/>
      <c r="I52" s="80" t="str">
        <f>W43</f>
        <v>Leukemijos</v>
      </c>
      <c r="J52" s="78"/>
      <c r="K52" s="78"/>
      <c r="L52" s="78"/>
      <c r="M52" s="78"/>
      <c r="N52" s="78"/>
      <c r="O52" s="78"/>
      <c r="P52" s="78"/>
      <c r="Q52" s="78"/>
      <c r="R52" s="78"/>
      <c r="S52" s="80" t="str">
        <f>AA43</f>
        <v>Ne Hodžkino limfomos</v>
      </c>
      <c r="T52" s="78"/>
      <c r="U52" s="78"/>
      <c r="V52" s="31"/>
      <c r="W52" s="352" t="s">
        <v>210</v>
      </c>
      <c r="X52" s="352">
        <v>1198</v>
      </c>
      <c r="Y52" s="367">
        <v>1</v>
      </c>
      <c r="Z52" s="352"/>
      <c r="AA52" s="352" t="s">
        <v>210</v>
      </c>
      <c r="AB52" s="352">
        <v>1670</v>
      </c>
      <c r="AC52" s="367">
        <v>1</v>
      </c>
      <c r="AD52" s="352"/>
      <c r="AE52" s="31"/>
    </row>
    <row r="53" spans="1:31" ht="20.100000000000001" customHeight="1">
      <c r="A53" s="78"/>
      <c r="B53" s="78"/>
      <c r="C53" s="78"/>
      <c r="D53" s="78"/>
      <c r="E53" s="78"/>
      <c r="F53" s="78"/>
      <c r="G53" s="78"/>
      <c r="H53" s="78"/>
      <c r="I53" s="80" t="str">
        <f>W42</f>
        <v>Gerklų</v>
      </c>
      <c r="J53" s="78"/>
      <c r="K53" s="78"/>
      <c r="L53" s="78"/>
      <c r="M53" s="78"/>
      <c r="N53" s="78"/>
      <c r="O53" s="78"/>
      <c r="P53" s="78"/>
      <c r="Q53" s="78"/>
      <c r="R53" s="78"/>
      <c r="S53" s="80" t="str">
        <f>AA42</f>
        <v>Skrandžio</v>
      </c>
      <c r="T53" s="78"/>
      <c r="U53" s="78"/>
      <c r="V53" s="31"/>
      <c r="W53" s="366" t="s">
        <v>457</v>
      </c>
      <c r="X53" s="352"/>
      <c r="Y53" s="368"/>
      <c r="Z53" s="352"/>
      <c r="AA53" s="366" t="s">
        <v>463</v>
      </c>
      <c r="AB53" s="352"/>
      <c r="AC53" s="368"/>
      <c r="AD53" s="352"/>
      <c r="AE53" s="31"/>
    </row>
    <row r="54" spans="1:31" ht="20.100000000000001" customHeight="1">
      <c r="A54" s="78"/>
      <c r="B54" s="78"/>
      <c r="C54" s="78"/>
      <c r="D54" s="78"/>
      <c r="E54" s="78"/>
      <c r="F54" s="78"/>
      <c r="G54" s="78"/>
      <c r="H54" s="78"/>
      <c r="I54" s="80" t="str">
        <f>W41</f>
        <v>Kiti</v>
      </c>
      <c r="J54" s="78"/>
      <c r="K54" s="78"/>
      <c r="L54" s="78"/>
      <c r="M54" s="78"/>
      <c r="N54" s="78"/>
      <c r="O54" s="78"/>
      <c r="P54" s="78"/>
      <c r="Q54" s="78"/>
      <c r="R54" s="78"/>
      <c r="S54" s="80" t="str">
        <f>AA41</f>
        <v>Kiti</v>
      </c>
      <c r="T54" s="78"/>
      <c r="U54" s="78"/>
      <c r="V54" s="31"/>
      <c r="W54" s="504" t="s">
        <v>26</v>
      </c>
      <c r="X54" s="504">
        <v>927</v>
      </c>
      <c r="Y54" s="506">
        <v>0.16372306605439774</v>
      </c>
      <c r="Z54" s="352"/>
      <c r="AA54" s="504" t="s">
        <v>26</v>
      </c>
      <c r="AB54" s="504">
        <v>959</v>
      </c>
      <c r="AC54" s="506">
        <v>0.25703564727954969</v>
      </c>
      <c r="AD54" s="352"/>
      <c r="AE54" s="31"/>
    </row>
    <row r="55" spans="1:31" ht="24.9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31"/>
      <c r="W55" s="352" t="s">
        <v>237</v>
      </c>
      <c r="X55" s="352">
        <v>138</v>
      </c>
      <c r="Y55" s="367">
        <v>2.4373013069586717E-2</v>
      </c>
      <c r="Z55" s="352"/>
      <c r="AA55" s="352" t="s">
        <v>219</v>
      </c>
      <c r="AB55" s="352">
        <v>128</v>
      </c>
      <c r="AC55" s="367">
        <v>3.4307156258375771E-2</v>
      </c>
      <c r="AD55" s="352"/>
      <c r="AE55" s="31"/>
    </row>
    <row r="56" spans="1:31" ht="24.95" customHeight="1">
      <c r="A56" s="78"/>
      <c r="B56" s="78"/>
      <c r="C56" s="505" t="str">
        <f>W53</f>
        <v>Vyrai, 55-74 metų (5662 atv.)</v>
      </c>
      <c r="D56" s="505"/>
      <c r="E56" s="505"/>
      <c r="F56" s="505"/>
      <c r="G56" s="505"/>
      <c r="H56" s="505"/>
      <c r="I56" s="505"/>
      <c r="J56" s="78"/>
      <c r="K56" s="78"/>
      <c r="L56" s="78"/>
      <c r="M56" s="505" t="str">
        <f>AA53</f>
        <v>Moterys, 55-74 metų (3731 atv.)</v>
      </c>
      <c r="N56" s="505"/>
      <c r="O56" s="505"/>
      <c r="P56" s="505"/>
      <c r="Q56" s="505"/>
      <c r="R56" s="505"/>
      <c r="S56" s="505"/>
      <c r="T56" s="78"/>
      <c r="U56" s="78"/>
      <c r="V56" s="31"/>
      <c r="W56" s="352" t="s">
        <v>220</v>
      </c>
      <c r="X56" s="352">
        <v>149</v>
      </c>
      <c r="Y56" s="367">
        <v>2.6315789473684209E-2</v>
      </c>
      <c r="Z56" s="352"/>
      <c r="AA56" s="352" t="s">
        <v>212</v>
      </c>
      <c r="AB56" s="352">
        <v>131</v>
      </c>
      <c r="AC56" s="367">
        <v>3.5111230233181454E-2</v>
      </c>
      <c r="AD56" s="352"/>
      <c r="AE56" s="31"/>
    </row>
    <row r="57" spans="1:31" ht="20.100000000000001" customHeight="1">
      <c r="A57" s="78"/>
      <c r="B57" s="78"/>
      <c r="C57" s="78"/>
      <c r="D57" s="78"/>
      <c r="E57" s="78"/>
      <c r="F57" s="78"/>
      <c r="G57" s="78"/>
      <c r="H57" s="78"/>
      <c r="I57" s="80" t="str">
        <f>W64</f>
        <v>Priešinės liaukos</v>
      </c>
      <c r="J57" s="78"/>
      <c r="K57" s="78"/>
      <c r="L57" s="78"/>
      <c r="M57" s="78"/>
      <c r="N57" s="78"/>
      <c r="O57" s="78"/>
      <c r="P57" s="78"/>
      <c r="Q57" s="78"/>
      <c r="R57" s="78"/>
      <c r="S57" s="80" t="str">
        <f>AA64</f>
        <v>Krūties</v>
      </c>
      <c r="T57" s="78"/>
      <c r="U57" s="78"/>
      <c r="V57" s="31"/>
      <c r="W57" s="352" t="s">
        <v>211</v>
      </c>
      <c r="X57" s="352">
        <v>191</v>
      </c>
      <c r="Y57" s="367">
        <v>3.3733663016601904E-2</v>
      </c>
      <c r="Z57" s="352"/>
      <c r="AA57" s="352" t="s">
        <v>232</v>
      </c>
      <c r="AB57" s="352">
        <v>134</v>
      </c>
      <c r="AC57" s="367">
        <v>3.5915304207987137E-2</v>
      </c>
      <c r="AD57" s="352"/>
      <c r="AE57" s="31"/>
    </row>
    <row r="58" spans="1:31" ht="20.100000000000001" customHeight="1">
      <c r="A58" s="78"/>
      <c r="B58" s="78"/>
      <c r="C58" s="78"/>
      <c r="D58" s="78"/>
      <c r="E58" s="78"/>
      <c r="F58" s="78"/>
      <c r="G58" s="78"/>
      <c r="H58" s="78"/>
      <c r="I58" s="80" t="str">
        <f>W63</f>
        <v>Plaučių, trachėjos, bronchų</v>
      </c>
      <c r="J58" s="78"/>
      <c r="K58" s="78"/>
      <c r="L58" s="78"/>
      <c r="M58" s="78"/>
      <c r="N58" s="78"/>
      <c r="O58" s="78"/>
      <c r="P58" s="78"/>
      <c r="Q58" s="78"/>
      <c r="R58" s="78"/>
      <c r="S58" s="80" t="str">
        <f>AA63</f>
        <v>Kiti odos piktybiniai navikai</v>
      </c>
      <c r="T58" s="78"/>
      <c r="U58" s="78"/>
      <c r="V58" s="31"/>
      <c r="W58" s="352" t="s">
        <v>212</v>
      </c>
      <c r="X58" s="352">
        <v>200</v>
      </c>
      <c r="Y58" s="367">
        <v>3.5323207347227131E-2</v>
      </c>
      <c r="Z58" s="352"/>
      <c r="AA58" s="352" t="s">
        <v>213</v>
      </c>
      <c r="AB58" s="352">
        <v>144</v>
      </c>
      <c r="AC58" s="367">
        <v>3.8595550790672742E-2</v>
      </c>
      <c r="AD58" s="352"/>
      <c r="AE58" s="31"/>
    </row>
    <row r="59" spans="1:31" ht="20.100000000000001" customHeight="1">
      <c r="A59" s="78"/>
      <c r="B59" s="78"/>
      <c r="C59" s="78"/>
      <c r="D59" s="78"/>
      <c r="E59" s="78"/>
      <c r="F59" s="78"/>
      <c r="G59" s="78"/>
      <c r="H59" s="78"/>
      <c r="I59" s="80" t="str">
        <f>W62</f>
        <v>Kiti odos piktybiniai navikai</v>
      </c>
      <c r="J59" s="78"/>
      <c r="K59" s="78"/>
      <c r="L59" s="78"/>
      <c r="M59" s="78"/>
      <c r="N59" s="78"/>
      <c r="O59" s="78"/>
      <c r="P59" s="78"/>
      <c r="Q59" s="78"/>
      <c r="R59" s="78"/>
      <c r="S59" s="80" t="str">
        <f>AA62</f>
        <v>Gimdos kūno</v>
      </c>
      <c r="T59" s="78"/>
      <c r="U59" s="78"/>
      <c r="V59" s="31"/>
      <c r="W59" s="352" t="s">
        <v>215</v>
      </c>
      <c r="X59" s="352">
        <v>239</v>
      </c>
      <c r="Y59" s="367">
        <v>4.2211232779936415E-2</v>
      </c>
      <c r="Z59" s="352"/>
      <c r="AA59" s="352" t="s">
        <v>217</v>
      </c>
      <c r="AB59" s="352">
        <v>155</v>
      </c>
      <c r="AC59" s="367">
        <v>4.1543822031626911E-2</v>
      </c>
      <c r="AD59" s="352"/>
      <c r="AE59" s="31"/>
    </row>
    <row r="60" spans="1:31" ht="20.100000000000001" customHeight="1">
      <c r="A60" s="78"/>
      <c r="B60" s="78"/>
      <c r="C60" s="78"/>
      <c r="D60" s="78"/>
      <c r="E60" s="78"/>
      <c r="F60" s="78"/>
      <c r="G60" s="78"/>
      <c r="H60" s="78"/>
      <c r="I60" s="80" t="str">
        <f>W61</f>
        <v>Inkstų</v>
      </c>
      <c r="J60" s="78"/>
      <c r="K60" s="78"/>
      <c r="L60" s="78"/>
      <c r="M60" s="78"/>
      <c r="N60" s="78"/>
      <c r="O60" s="78"/>
      <c r="P60" s="78"/>
      <c r="Q60" s="78"/>
      <c r="R60" s="78"/>
      <c r="S60" s="80" t="str">
        <f>AA61</f>
        <v>Gaubtinės žarnos</v>
      </c>
      <c r="T60" s="78"/>
      <c r="U60" s="78"/>
      <c r="V60" s="31"/>
      <c r="W60" s="352" t="s">
        <v>214</v>
      </c>
      <c r="X60" s="352">
        <v>240</v>
      </c>
      <c r="Y60" s="367">
        <v>4.2387848816672555E-2</v>
      </c>
      <c r="Z60" s="352"/>
      <c r="AA60" s="352" t="s">
        <v>231</v>
      </c>
      <c r="AB60" s="352">
        <v>176</v>
      </c>
      <c r="AC60" s="367">
        <v>4.7172339855266684E-2</v>
      </c>
      <c r="AD60" s="352"/>
      <c r="AE60" s="31"/>
    </row>
    <row r="61" spans="1:31" ht="20.100000000000001" customHeight="1">
      <c r="A61" s="78"/>
      <c r="B61" s="78"/>
      <c r="C61" s="78"/>
      <c r="D61" s="78"/>
      <c r="E61" s="78"/>
      <c r="F61" s="78"/>
      <c r="G61" s="78"/>
      <c r="H61" s="78"/>
      <c r="I61" s="80" t="str">
        <f>W60</f>
        <v>Gaubtinės žarnos</v>
      </c>
      <c r="J61" s="78"/>
      <c r="K61" s="78"/>
      <c r="L61" s="78"/>
      <c r="M61" s="78"/>
      <c r="N61" s="78"/>
      <c r="O61" s="78"/>
      <c r="P61" s="78"/>
      <c r="Q61" s="78"/>
      <c r="R61" s="78"/>
      <c r="S61" s="80" t="str">
        <f>AA60</f>
        <v>Kiaušidžių</v>
      </c>
      <c r="T61" s="78"/>
      <c r="U61" s="78"/>
      <c r="V61" s="31"/>
      <c r="W61" s="352" t="s">
        <v>213</v>
      </c>
      <c r="X61" s="352">
        <v>259</v>
      </c>
      <c r="Y61" s="367">
        <v>4.5743553514659134E-2</v>
      </c>
      <c r="Z61" s="352"/>
      <c r="AA61" s="352" t="s">
        <v>214</v>
      </c>
      <c r="AB61" s="352">
        <v>209</v>
      </c>
      <c r="AC61" s="367">
        <v>5.601715357812919E-2</v>
      </c>
      <c r="AD61" s="352"/>
      <c r="AE61" s="31"/>
    </row>
    <row r="62" spans="1:31" ht="20.100000000000001" customHeight="1">
      <c r="A62" s="78"/>
      <c r="B62" s="78"/>
      <c r="C62" s="78"/>
      <c r="D62" s="78"/>
      <c r="E62" s="78"/>
      <c r="F62" s="78"/>
      <c r="G62" s="78"/>
      <c r="H62" s="78"/>
      <c r="I62" s="80" t="str">
        <f>W59</f>
        <v>Skrandžio</v>
      </c>
      <c r="J62" s="78"/>
      <c r="K62" s="78"/>
      <c r="L62" s="78"/>
      <c r="M62" s="78"/>
      <c r="N62" s="78"/>
      <c r="O62" s="78"/>
      <c r="P62" s="78"/>
      <c r="Q62" s="78"/>
      <c r="R62" s="78"/>
      <c r="S62" s="80" t="str">
        <f>AA59</f>
        <v>Plaučių, trachėjos, bronchų</v>
      </c>
      <c r="T62" s="78"/>
      <c r="U62" s="78"/>
      <c r="V62" s="31"/>
      <c r="W62" s="352" t="s">
        <v>216</v>
      </c>
      <c r="X62" s="352">
        <v>390</v>
      </c>
      <c r="Y62" s="367">
        <v>6.8880254327092896E-2</v>
      </c>
      <c r="Z62" s="352"/>
      <c r="AA62" s="352" t="s">
        <v>233</v>
      </c>
      <c r="AB62" s="352">
        <v>336</v>
      </c>
      <c r="AC62" s="367">
        <v>9.0056285178236398E-2</v>
      </c>
      <c r="AD62" s="352"/>
      <c r="AE62" s="31"/>
    </row>
    <row r="63" spans="1:31" ht="20.100000000000001" customHeight="1">
      <c r="A63" s="78"/>
      <c r="B63" s="78"/>
      <c r="C63" s="78"/>
      <c r="D63" s="78"/>
      <c r="E63" s="78"/>
      <c r="F63" s="78"/>
      <c r="G63" s="78"/>
      <c r="H63" s="78"/>
      <c r="I63" s="80" t="str">
        <f>W58</f>
        <v>Tiesiosios žarnos, išangės</v>
      </c>
      <c r="J63" s="78"/>
      <c r="K63" s="78"/>
      <c r="L63" s="78"/>
      <c r="M63" s="78"/>
      <c r="N63" s="78"/>
      <c r="O63" s="78"/>
      <c r="P63" s="78"/>
      <c r="Q63" s="78"/>
      <c r="R63" s="78"/>
      <c r="S63" s="80" t="str">
        <f>AA58</f>
        <v>Inkstų</v>
      </c>
      <c r="T63" s="78"/>
      <c r="U63" s="78"/>
      <c r="V63" s="31"/>
      <c r="W63" s="352" t="s">
        <v>217</v>
      </c>
      <c r="X63" s="352">
        <v>741</v>
      </c>
      <c r="Y63" s="367">
        <v>0.13087248322147652</v>
      </c>
      <c r="Z63" s="352"/>
      <c r="AA63" s="352" t="s">
        <v>216</v>
      </c>
      <c r="AB63" s="352">
        <v>601</v>
      </c>
      <c r="AC63" s="367">
        <v>0.16108281961940499</v>
      </c>
      <c r="AD63" s="352"/>
      <c r="AE63" s="31"/>
    </row>
    <row r="64" spans="1:31" ht="20.100000000000001" customHeight="1">
      <c r="A64" s="78"/>
      <c r="B64" s="78"/>
      <c r="C64" s="78"/>
      <c r="D64" s="78"/>
      <c r="E64" s="78"/>
      <c r="F64" s="78"/>
      <c r="G64" s="78"/>
      <c r="H64" s="78"/>
      <c r="I64" s="80" t="str">
        <f>W57</f>
        <v>Burnos ertmės ir ryklės</v>
      </c>
      <c r="J64" s="78"/>
      <c r="K64" s="78"/>
      <c r="L64" s="78"/>
      <c r="M64" s="78"/>
      <c r="N64" s="78"/>
      <c r="O64" s="78"/>
      <c r="P64" s="78"/>
      <c r="Q64" s="78"/>
      <c r="R64" s="78"/>
      <c r="S64" s="80" t="str">
        <f>AA57</f>
        <v>Gimdos kaklelio</v>
      </c>
      <c r="T64" s="78"/>
      <c r="U64" s="78"/>
      <c r="V64" s="31"/>
      <c r="W64" s="352" t="s">
        <v>218</v>
      </c>
      <c r="X64" s="352">
        <v>2188</v>
      </c>
      <c r="Y64" s="367">
        <v>0.38643588837866477</v>
      </c>
      <c r="Z64" s="352"/>
      <c r="AA64" s="352" t="s">
        <v>234</v>
      </c>
      <c r="AB64" s="352">
        <v>758</v>
      </c>
      <c r="AC64" s="367">
        <v>0.203162690967569</v>
      </c>
      <c r="AD64" s="352"/>
      <c r="AE64" s="31"/>
    </row>
    <row r="65" spans="1:31" ht="20.100000000000001" customHeight="1">
      <c r="A65" s="78"/>
      <c r="B65" s="78"/>
      <c r="C65" s="78"/>
      <c r="D65" s="78"/>
      <c r="E65" s="78"/>
      <c r="F65" s="78"/>
      <c r="G65" s="78"/>
      <c r="H65" s="78"/>
      <c r="I65" s="80" t="str">
        <f>W56</f>
        <v>Šlapimo pūslės</v>
      </c>
      <c r="J65" s="78"/>
      <c r="K65" s="78"/>
      <c r="L65" s="78"/>
      <c r="M65" s="78"/>
      <c r="N65" s="78"/>
      <c r="O65" s="78"/>
      <c r="P65" s="78"/>
      <c r="Q65" s="78"/>
      <c r="R65" s="78"/>
      <c r="S65" s="80" t="str">
        <f>AA56</f>
        <v>Tiesiosios žarnos, išangės</v>
      </c>
      <c r="T65" s="78"/>
      <c r="U65" s="78"/>
      <c r="V65" s="31"/>
      <c r="W65" s="352" t="s">
        <v>210</v>
      </c>
      <c r="X65" s="352">
        <v>5662</v>
      </c>
      <c r="Y65" s="367">
        <v>1</v>
      </c>
      <c r="Z65" s="352"/>
      <c r="AA65" s="352" t="s">
        <v>210</v>
      </c>
      <c r="AB65" s="352">
        <v>3731</v>
      </c>
      <c r="AC65" s="367">
        <v>1</v>
      </c>
      <c r="AD65" s="352"/>
      <c r="AE65" s="31"/>
    </row>
    <row r="66" spans="1:31" ht="20.100000000000001" customHeight="1">
      <c r="A66" s="78"/>
      <c r="B66" s="78"/>
      <c r="C66" s="78"/>
      <c r="D66" s="78"/>
      <c r="E66" s="78"/>
      <c r="F66" s="78"/>
      <c r="G66" s="78"/>
      <c r="H66" s="78"/>
      <c r="I66" s="80" t="str">
        <f>W55</f>
        <v>Nepatikslintos lokalizacijos</v>
      </c>
      <c r="J66" s="78"/>
      <c r="K66" s="78"/>
      <c r="L66" s="78"/>
      <c r="M66" s="78"/>
      <c r="N66" s="78"/>
      <c r="O66" s="78"/>
      <c r="P66" s="78"/>
      <c r="Q66" s="78"/>
      <c r="R66" s="78"/>
      <c r="S66" s="80" t="str">
        <f>AA55</f>
        <v>Kasos</v>
      </c>
      <c r="T66" s="78"/>
      <c r="U66" s="78"/>
      <c r="V66" s="31"/>
      <c r="W66" s="366" t="s">
        <v>458</v>
      </c>
      <c r="X66" s="352"/>
      <c r="Y66" s="368"/>
      <c r="Z66" s="352"/>
      <c r="AA66" s="366" t="s">
        <v>464</v>
      </c>
      <c r="AB66" s="352"/>
      <c r="AC66" s="368"/>
      <c r="AD66" s="352"/>
      <c r="AE66" s="31"/>
    </row>
    <row r="67" spans="1:31" ht="20.100000000000001" customHeight="1">
      <c r="A67" s="78"/>
      <c r="B67" s="78"/>
      <c r="C67" s="78"/>
      <c r="D67" s="78"/>
      <c r="E67" s="78"/>
      <c r="F67" s="78"/>
      <c r="G67" s="78"/>
      <c r="H67" s="78"/>
      <c r="I67" s="80" t="str">
        <f>W54</f>
        <v>Kiti</v>
      </c>
      <c r="J67" s="78"/>
      <c r="K67" s="78"/>
      <c r="L67" s="78"/>
      <c r="M67" s="78"/>
      <c r="N67" s="78"/>
      <c r="O67" s="78"/>
      <c r="P67" s="78"/>
      <c r="Q67" s="78"/>
      <c r="R67" s="78"/>
      <c r="S67" s="80" t="str">
        <f>AA54</f>
        <v>Kiti</v>
      </c>
      <c r="T67" s="78"/>
      <c r="U67" s="78"/>
      <c r="V67" s="31"/>
      <c r="W67" s="504" t="s">
        <v>26</v>
      </c>
      <c r="X67" s="504">
        <v>390</v>
      </c>
      <c r="Y67" s="506">
        <v>0.1658868566567418</v>
      </c>
      <c r="Z67" s="352"/>
      <c r="AA67" s="504" t="s">
        <v>26</v>
      </c>
      <c r="AB67" s="504">
        <v>780</v>
      </c>
      <c r="AC67" s="506">
        <v>0.27368421052631581</v>
      </c>
      <c r="AD67" s="352"/>
      <c r="AE67" s="31"/>
    </row>
    <row r="68" spans="1:31" ht="24.9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31"/>
      <c r="W68" s="352" t="s">
        <v>237</v>
      </c>
      <c r="X68" s="352">
        <v>73</v>
      </c>
      <c r="Y68" s="367">
        <v>3.1050616758826033E-2</v>
      </c>
      <c r="Z68" s="352"/>
      <c r="AA68" s="352" t="s">
        <v>231</v>
      </c>
      <c r="AB68" s="352">
        <v>108</v>
      </c>
      <c r="AC68" s="367">
        <v>3.7894736842105266E-2</v>
      </c>
      <c r="AD68" s="352"/>
      <c r="AE68" s="31"/>
    </row>
    <row r="69" spans="1:31" ht="24.95" customHeight="1">
      <c r="A69" s="78"/>
      <c r="B69" s="78"/>
      <c r="C69" s="505" t="str">
        <f>W66</f>
        <v>Vyrai, 75 ir daugiau metų (2351 atv.)</v>
      </c>
      <c r="D69" s="505"/>
      <c r="E69" s="505"/>
      <c r="F69" s="505"/>
      <c r="G69" s="505"/>
      <c r="H69" s="505"/>
      <c r="I69" s="505"/>
      <c r="J69" s="78"/>
      <c r="K69" s="78"/>
      <c r="L69" s="78"/>
      <c r="M69" s="505" t="str">
        <f>AA66</f>
        <v>Moterys, 75 ir daugiau metų (2850 atv.)</v>
      </c>
      <c r="N69" s="505"/>
      <c r="O69" s="505"/>
      <c r="P69" s="505"/>
      <c r="Q69" s="505"/>
      <c r="R69" s="505"/>
      <c r="S69" s="505"/>
      <c r="T69" s="78"/>
      <c r="U69" s="78"/>
      <c r="V69" s="31"/>
      <c r="W69" s="352" t="s">
        <v>219</v>
      </c>
      <c r="X69" s="352">
        <v>74</v>
      </c>
      <c r="Y69" s="367">
        <v>3.1475967673330496E-2</v>
      </c>
      <c r="Z69" s="352"/>
      <c r="AA69" s="352" t="s">
        <v>212</v>
      </c>
      <c r="AB69" s="352">
        <v>110</v>
      </c>
      <c r="AC69" s="367">
        <v>3.8596491228070177E-2</v>
      </c>
      <c r="AD69" s="352"/>
      <c r="AE69" s="31"/>
    </row>
    <row r="70" spans="1:31" ht="20.100000000000001" customHeight="1">
      <c r="A70" s="78"/>
      <c r="B70" s="78"/>
      <c r="C70" s="78"/>
      <c r="D70" s="78"/>
      <c r="E70" s="78"/>
      <c r="F70" s="78"/>
      <c r="G70" s="78"/>
      <c r="H70" s="78"/>
      <c r="I70" s="80" t="str">
        <f>W77</f>
        <v>Priešinės liaukos</v>
      </c>
      <c r="J70" s="78"/>
      <c r="K70" s="78"/>
      <c r="L70" s="78"/>
      <c r="M70" s="78"/>
      <c r="N70" s="78"/>
      <c r="O70" s="78"/>
      <c r="P70" s="78"/>
      <c r="Q70" s="78"/>
      <c r="R70" s="78"/>
      <c r="S70" s="80" t="str">
        <f>AA77</f>
        <v>Kiti odos piktybiniai navikai</v>
      </c>
      <c r="T70" s="78"/>
      <c r="U70" s="78"/>
      <c r="V70" s="31"/>
      <c r="W70" s="352" t="s">
        <v>213</v>
      </c>
      <c r="X70" s="352">
        <v>98</v>
      </c>
      <c r="Y70" s="367">
        <v>4.1684389621437688E-2</v>
      </c>
      <c r="Z70" s="352"/>
      <c r="AA70" s="352" t="s">
        <v>217</v>
      </c>
      <c r="AB70" s="352">
        <v>121</v>
      </c>
      <c r="AC70" s="367">
        <v>4.2456140350877192E-2</v>
      </c>
      <c r="AD70" s="352"/>
      <c r="AE70" s="31"/>
    </row>
    <row r="71" spans="1:31" ht="20.100000000000001" customHeight="1">
      <c r="A71" s="78"/>
      <c r="B71" s="78"/>
      <c r="C71" s="78"/>
      <c r="D71" s="78"/>
      <c r="E71" s="78"/>
      <c r="F71" s="78"/>
      <c r="G71" s="78"/>
      <c r="H71" s="78"/>
      <c r="I71" s="80" t="str">
        <f>W76</f>
        <v>Plaučių, trachėjos, bronchų</v>
      </c>
      <c r="J71" s="78"/>
      <c r="K71" s="78"/>
      <c r="L71" s="78"/>
      <c r="M71" s="78"/>
      <c r="N71" s="78"/>
      <c r="O71" s="78"/>
      <c r="P71" s="78"/>
      <c r="Q71" s="78"/>
      <c r="R71" s="78"/>
      <c r="S71" s="80" t="str">
        <f>AA76</f>
        <v>Krūties</v>
      </c>
      <c r="T71" s="78"/>
      <c r="U71" s="78"/>
      <c r="V71" s="31"/>
      <c r="W71" s="352" t="s">
        <v>212</v>
      </c>
      <c r="X71" s="352">
        <v>117</v>
      </c>
      <c r="Y71" s="367">
        <v>4.9766056997022544E-2</v>
      </c>
      <c r="Z71" s="352"/>
      <c r="AA71" s="352" t="s">
        <v>237</v>
      </c>
      <c r="AB71" s="352">
        <v>122</v>
      </c>
      <c r="AC71" s="367">
        <v>4.2807017543859648E-2</v>
      </c>
      <c r="AD71" s="352"/>
      <c r="AE71" s="31"/>
    </row>
    <row r="72" spans="1:31" ht="20.100000000000001" customHeight="1">
      <c r="A72" s="78"/>
      <c r="B72" s="78"/>
      <c r="C72" s="78"/>
      <c r="D72" s="78"/>
      <c r="E72" s="78"/>
      <c r="F72" s="78"/>
      <c r="G72" s="78"/>
      <c r="H72" s="78"/>
      <c r="I72" s="80" t="str">
        <f>W75</f>
        <v>Kiti odos piktybiniai navikai</v>
      </c>
      <c r="J72" s="78"/>
      <c r="K72" s="78"/>
      <c r="L72" s="78"/>
      <c r="M72" s="78"/>
      <c r="N72" s="78"/>
      <c r="O72" s="78"/>
      <c r="P72" s="78"/>
      <c r="Q72" s="78"/>
      <c r="R72" s="78"/>
      <c r="S72" s="80" t="str">
        <f>AA75</f>
        <v>Gaubtinės žarnos</v>
      </c>
      <c r="T72" s="78"/>
      <c r="U72" s="78"/>
      <c r="V72" s="31"/>
      <c r="W72" s="352" t="s">
        <v>220</v>
      </c>
      <c r="X72" s="352">
        <v>132</v>
      </c>
      <c r="Y72" s="367">
        <v>5.6146320714589533E-2</v>
      </c>
      <c r="Z72" s="352"/>
      <c r="AA72" s="352" t="s">
        <v>219</v>
      </c>
      <c r="AB72" s="352">
        <v>139</v>
      </c>
      <c r="AC72" s="367">
        <v>4.8771929824561404E-2</v>
      </c>
      <c r="AD72" s="352"/>
      <c r="AE72" s="31"/>
    </row>
    <row r="73" spans="1:31" ht="20.100000000000001" customHeight="1">
      <c r="A73" s="78"/>
      <c r="B73" s="78"/>
      <c r="C73" s="78"/>
      <c r="D73" s="78"/>
      <c r="E73" s="78"/>
      <c r="F73" s="78"/>
      <c r="G73" s="78"/>
      <c r="H73" s="78"/>
      <c r="I73" s="80" t="str">
        <f>W74</f>
        <v>Skrandžio</v>
      </c>
      <c r="J73" s="78"/>
      <c r="K73" s="78"/>
      <c r="L73" s="78"/>
      <c r="M73" s="78"/>
      <c r="N73" s="78"/>
      <c r="O73" s="78"/>
      <c r="P73" s="78"/>
      <c r="Q73" s="78"/>
      <c r="R73" s="78"/>
      <c r="S73" s="80" t="str">
        <f>AA74</f>
        <v>Skrandžio</v>
      </c>
      <c r="T73" s="78"/>
      <c r="U73" s="78"/>
      <c r="V73" s="31"/>
      <c r="W73" s="352" t="s">
        <v>214</v>
      </c>
      <c r="X73" s="352">
        <v>144</v>
      </c>
      <c r="Y73" s="367">
        <v>6.1250531688643133E-2</v>
      </c>
      <c r="Z73" s="352"/>
      <c r="AA73" s="352" t="s">
        <v>233</v>
      </c>
      <c r="AB73" s="352">
        <v>143</v>
      </c>
      <c r="AC73" s="367">
        <v>5.0175438596491227E-2</v>
      </c>
      <c r="AD73" s="352"/>
      <c r="AE73" s="31"/>
    </row>
    <row r="74" spans="1:31" ht="20.100000000000001" customHeight="1">
      <c r="A74" s="78"/>
      <c r="B74" s="78"/>
      <c r="C74" s="78"/>
      <c r="D74" s="78"/>
      <c r="E74" s="78"/>
      <c r="F74" s="78"/>
      <c r="G74" s="78"/>
      <c r="H74" s="78"/>
      <c r="I74" s="80" t="str">
        <f>W73</f>
        <v>Gaubtinės žarnos</v>
      </c>
      <c r="J74" s="78"/>
      <c r="K74" s="78"/>
      <c r="L74" s="78"/>
      <c r="M74" s="78"/>
      <c r="N74" s="78"/>
      <c r="O74" s="78"/>
      <c r="P74" s="78"/>
      <c r="Q74" s="78"/>
      <c r="R74" s="78"/>
      <c r="S74" s="80" t="str">
        <f>AA73</f>
        <v>Gimdos kūno</v>
      </c>
      <c r="T74" s="78"/>
      <c r="U74" s="78"/>
      <c r="V74" s="31"/>
      <c r="W74" s="352" t="s">
        <v>215</v>
      </c>
      <c r="X74" s="352">
        <v>181</v>
      </c>
      <c r="Y74" s="367">
        <v>7.6988515525308374E-2</v>
      </c>
      <c r="Z74" s="352"/>
      <c r="AA74" s="352" t="s">
        <v>215</v>
      </c>
      <c r="AB74" s="352">
        <v>152</v>
      </c>
      <c r="AC74" s="367">
        <v>5.3333333333333337E-2</v>
      </c>
      <c r="AD74" s="352"/>
      <c r="AE74" s="31"/>
    </row>
    <row r="75" spans="1:31" ht="20.100000000000001" customHeight="1">
      <c r="A75" s="78"/>
      <c r="B75" s="78"/>
      <c r="C75" s="78"/>
      <c r="D75" s="78"/>
      <c r="E75" s="78"/>
      <c r="F75" s="78"/>
      <c r="G75" s="78"/>
      <c r="H75" s="78"/>
      <c r="I75" s="80" t="str">
        <f>W72</f>
        <v>Šlapimo pūslės</v>
      </c>
      <c r="J75" s="78"/>
      <c r="K75" s="78"/>
      <c r="L75" s="78"/>
      <c r="M75" s="78"/>
      <c r="N75" s="78"/>
      <c r="O75" s="78"/>
      <c r="P75" s="78"/>
      <c r="Q75" s="78"/>
      <c r="R75" s="78"/>
      <c r="S75" s="80" t="str">
        <f>AA72</f>
        <v>Kasos</v>
      </c>
      <c r="T75" s="78"/>
      <c r="U75" s="78"/>
      <c r="V75" s="31"/>
      <c r="W75" s="352" t="s">
        <v>216</v>
      </c>
      <c r="X75" s="352">
        <v>316</v>
      </c>
      <c r="Y75" s="367">
        <v>0.1344108889834113</v>
      </c>
      <c r="Z75" s="352"/>
      <c r="AA75" s="352" t="s">
        <v>214</v>
      </c>
      <c r="AB75" s="352">
        <v>207</v>
      </c>
      <c r="AC75" s="367">
        <v>7.2631578947368422E-2</v>
      </c>
      <c r="AD75" s="352"/>
      <c r="AE75" s="31"/>
    </row>
    <row r="76" spans="1:31" ht="20.100000000000001" customHeight="1">
      <c r="A76" s="78"/>
      <c r="B76" s="78"/>
      <c r="C76" s="78"/>
      <c r="D76" s="78"/>
      <c r="E76" s="78"/>
      <c r="F76" s="78"/>
      <c r="G76" s="78"/>
      <c r="H76" s="78"/>
      <c r="I76" s="80" t="str">
        <f>W71</f>
        <v>Tiesiosios žarnos, išangės</v>
      </c>
      <c r="J76" s="78"/>
      <c r="K76" s="78"/>
      <c r="L76" s="78"/>
      <c r="M76" s="78"/>
      <c r="N76" s="78"/>
      <c r="O76" s="78"/>
      <c r="P76" s="78"/>
      <c r="Q76" s="78"/>
      <c r="R76" s="78"/>
      <c r="S76" s="80" t="str">
        <f>AA71</f>
        <v>Nepatikslintos lokalizacijos</v>
      </c>
      <c r="T76" s="78"/>
      <c r="U76" s="78"/>
      <c r="V76" s="31"/>
      <c r="W76" s="352" t="s">
        <v>217</v>
      </c>
      <c r="X76" s="352">
        <v>327</v>
      </c>
      <c r="Y76" s="367">
        <v>0.13908974904296045</v>
      </c>
      <c r="Z76" s="352"/>
      <c r="AA76" s="352" t="s">
        <v>234</v>
      </c>
      <c r="AB76" s="352">
        <v>341</v>
      </c>
      <c r="AC76" s="367">
        <v>0.11964912280701755</v>
      </c>
      <c r="AD76" s="352"/>
      <c r="AE76" s="31"/>
    </row>
    <row r="77" spans="1:31" ht="20.100000000000001" customHeight="1">
      <c r="A77" s="78"/>
      <c r="B77" s="78"/>
      <c r="C77" s="78"/>
      <c r="D77" s="78"/>
      <c r="E77" s="78"/>
      <c r="F77" s="78"/>
      <c r="G77" s="78"/>
      <c r="H77" s="78"/>
      <c r="I77" s="80" t="str">
        <f>W70</f>
        <v>Inkstų</v>
      </c>
      <c r="J77" s="78"/>
      <c r="K77" s="78"/>
      <c r="L77" s="78"/>
      <c r="M77" s="78"/>
      <c r="N77" s="78"/>
      <c r="O77" s="78"/>
      <c r="P77" s="78"/>
      <c r="Q77" s="78"/>
      <c r="R77" s="78"/>
      <c r="S77" s="80" t="str">
        <f>AA70</f>
        <v>Plaučių, trachėjos, bronchų</v>
      </c>
      <c r="T77" s="78"/>
      <c r="U77" s="78"/>
      <c r="V77" s="31"/>
      <c r="W77" s="352" t="s">
        <v>218</v>
      </c>
      <c r="X77" s="352">
        <v>499</v>
      </c>
      <c r="Y77" s="367">
        <v>0.21225010633772862</v>
      </c>
      <c r="Z77" s="352"/>
      <c r="AA77" s="352" t="s">
        <v>216</v>
      </c>
      <c r="AB77" s="352">
        <v>627</v>
      </c>
      <c r="AC77" s="367">
        <v>0.22</v>
      </c>
      <c r="AD77" s="352"/>
      <c r="AE77" s="31"/>
    </row>
    <row r="78" spans="1:31" ht="20.100000000000001" customHeight="1">
      <c r="A78" s="78"/>
      <c r="B78" s="78"/>
      <c r="C78" s="78"/>
      <c r="D78" s="78"/>
      <c r="E78" s="78"/>
      <c r="F78" s="78"/>
      <c r="G78" s="78"/>
      <c r="H78" s="78"/>
      <c r="I78" s="80" t="str">
        <f>W69</f>
        <v>Kasos</v>
      </c>
      <c r="J78" s="78"/>
      <c r="K78" s="78"/>
      <c r="L78" s="78"/>
      <c r="M78" s="78"/>
      <c r="N78" s="78"/>
      <c r="O78" s="78"/>
      <c r="P78" s="78"/>
      <c r="Q78" s="78"/>
      <c r="R78" s="78"/>
      <c r="S78" s="80" t="str">
        <f>AA69</f>
        <v>Tiesiosios žarnos, išangės</v>
      </c>
      <c r="T78" s="78"/>
      <c r="U78" s="78"/>
      <c r="V78" s="31"/>
      <c r="W78" s="352" t="s">
        <v>210</v>
      </c>
      <c r="X78" s="352">
        <v>2351</v>
      </c>
      <c r="Y78" s="367">
        <v>0.99999999999999978</v>
      </c>
      <c r="Z78" s="352"/>
      <c r="AA78" s="352" t="s">
        <v>210</v>
      </c>
      <c r="AB78" s="352">
        <v>2850</v>
      </c>
      <c r="AC78" s="367">
        <v>1</v>
      </c>
      <c r="AD78" s="352"/>
      <c r="AE78" s="31"/>
    </row>
    <row r="79" spans="1:31" ht="20.100000000000001" customHeight="1">
      <c r="A79" s="78"/>
      <c r="B79" s="78"/>
      <c r="C79" s="78"/>
      <c r="D79" s="78"/>
      <c r="E79" s="78"/>
      <c r="F79" s="78"/>
      <c r="G79" s="78"/>
      <c r="H79" s="78"/>
      <c r="I79" s="80" t="str">
        <f>W68</f>
        <v>Nepatikslintos lokalizacijos</v>
      </c>
      <c r="J79" s="78"/>
      <c r="K79" s="78"/>
      <c r="L79" s="78"/>
      <c r="M79" s="78"/>
      <c r="N79" s="78"/>
      <c r="O79" s="78"/>
      <c r="P79" s="78"/>
      <c r="Q79" s="78"/>
      <c r="R79" s="78"/>
      <c r="S79" s="80" t="str">
        <f>AA68</f>
        <v>Kiaušidžių</v>
      </c>
      <c r="T79" s="78"/>
      <c r="U79" s="78"/>
      <c r="V79" s="31"/>
      <c r="W79" s="366" t="s">
        <v>210</v>
      </c>
      <c r="X79" s="352">
        <v>2347</v>
      </c>
      <c r="Y79" s="367">
        <v>1</v>
      </c>
      <c r="Z79" s="352"/>
      <c r="AA79" s="366" t="s">
        <v>210</v>
      </c>
      <c r="AB79" s="352">
        <v>2504</v>
      </c>
      <c r="AC79" s="367">
        <v>1</v>
      </c>
      <c r="AD79" s="352"/>
      <c r="AE79" s="31"/>
    </row>
    <row r="80" spans="1:31" ht="20.100000000000001" customHeight="1">
      <c r="A80" s="78"/>
      <c r="B80" s="78"/>
      <c r="C80" s="78"/>
      <c r="D80" s="78"/>
      <c r="E80" s="78"/>
      <c r="F80" s="78"/>
      <c r="G80" s="78"/>
      <c r="H80" s="78"/>
      <c r="I80" s="80" t="str">
        <f>W67</f>
        <v>Kiti</v>
      </c>
      <c r="J80" s="78"/>
      <c r="K80" s="78"/>
      <c r="L80" s="78"/>
      <c r="M80" s="78"/>
      <c r="N80" s="78"/>
      <c r="O80" s="78"/>
      <c r="P80" s="78"/>
      <c r="Q80" s="78"/>
      <c r="R80" s="78"/>
      <c r="S80" s="80" t="str">
        <f>AA67</f>
        <v>Kiti</v>
      </c>
      <c r="T80" s="78"/>
      <c r="U80" s="78"/>
      <c r="V80" s="31"/>
      <c r="W80" s="352"/>
      <c r="X80" s="352"/>
      <c r="Y80" s="352"/>
      <c r="Z80" s="352"/>
      <c r="AA80" s="352"/>
      <c r="AB80" s="352"/>
      <c r="AC80" s="352"/>
      <c r="AD80" s="352"/>
      <c r="AE80" s="31"/>
    </row>
    <row r="81" spans="1:31" ht="20.100000000000001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31"/>
      <c r="W81" s="352"/>
      <c r="X81" s="352"/>
      <c r="Y81" s="352"/>
      <c r="Z81" s="352"/>
      <c r="AA81" s="352"/>
      <c r="AB81" s="352"/>
      <c r="AC81" s="352"/>
      <c r="AD81" s="352"/>
      <c r="AE81" s="31"/>
    </row>
    <row r="82" spans="1:3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52"/>
      <c r="X82" s="352"/>
      <c r="Y82" s="352"/>
      <c r="Z82" s="352"/>
      <c r="AA82" s="352"/>
      <c r="AB82" s="352"/>
      <c r="AC82" s="352"/>
      <c r="AD82" s="352"/>
      <c r="AE82" s="31"/>
    </row>
    <row r="83" spans="1:3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</sheetData>
  <mergeCells count="24">
    <mergeCell ref="C43:I43"/>
    <mergeCell ref="M43:S43"/>
    <mergeCell ref="C56:I56"/>
    <mergeCell ref="M56:S56"/>
    <mergeCell ref="C69:I69"/>
    <mergeCell ref="M69:S69"/>
    <mergeCell ref="C3:I3"/>
    <mergeCell ref="M3:S3"/>
    <mergeCell ref="C16:I16"/>
    <mergeCell ref="M16:S16"/>
    <mergeCell ref="C29:I29"/>
    <mergeCell ref="M29:S29"/>
    <mergeCell ref="W1:Y1"/>
    <mergeCell ref="AA1:AC1"/>
    <mergeCell ref="W14:Y14"/>
    <mergeCell ref="AA14:AC14"/>
    <mergeCell ref="W27:Y27"/>
    <mergeCell ref="AA27:AC27"/>
    <mergeCell ref="W41:Y41"/>
    <mergeCell ref="AA41:AC41"/>
    <mergeCell ref="W54:Y54"/>
    <mergeCell ref="AA54:AC54"/>
    <mergeCell ref="W67:Y67"/>
    <mergeCell ref="AA67:AC6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6" tint="0.59999389629810485"/>
  </sheetPr>
  <dimension ref="A1:EG86"/>
  <sheetViews>
    <sheetView tabSelected="1" zoomScaleNormal="100" workbookViewId="0">
      <selection activeCell="B3" sqref="B3"/>
    </sheetView>
  </sheetViews>
  <sheetFormatPr defaultRowHeight="12.75"/>
  <cols>
    <col min="1" max="1" width="1.2851562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customWidth="1"/>
    <col min="9" max="11" width="0.85546875" customWidth="1"/>
    <col min="12" max="14" width="1.7109375" customWidth="1"/>
    <col min="15" max="15" width="1.7109375" style="56" customWidth="1"/>
    <col min="16" max="16" width="5.5703125" style="56" customWidth="1"/>
    <col min="17" max="17" width="32.42578125" bestFit="1" customWidth="1"/>
    <col min="18" max="18" width="7.85546875" bestFit="1" customWidth="1"/>
    <col min="19" max="22" width="6.140625" bestFit="1" customWidth="1"/>
    <col min="23" max="23" width="6.85546875" bestFit="1" customWidth="1"/>
    <col min="24" max="24" width="6.42578125" bestFit="1" customWidth="1"/>
    <col min="25" max="26" width="6.140625" bestFit="1" customWidth="1"/>
    <col min="27" max="36" width="7" bestFit="1" customWidth="1"/>
    <col min="37" max="37" width="32.42578125" bestFit="1" customWidth="1"/>
    <col min="38" max="38" width="7.85546875" bestFit="1" customWidth="1"/>
    <col min="39" max="42" width="6.140625" bestFit="1" customWidth="1"/>
    <col min="43" max="43" width="6.85546875" bestFit="1" customWidth="1"/>
    <col min="44" max="44" width="6.42578125" bestFit="1" customWidth="1"/>
    <col min="45" max="46" width="6.140625" bestFit="1" customWidth="1"/>
    <col min="47" max="56" width="7" bestFit="1" customWidth="1"/>
  </cols>
  <sheetData>
    <row r="1" spans="1:137" s="352" customFormat="1" ht="17.25" customHeight="1">
      <c r="A1" s="274"/>
      <c r="B1" s="512" t="s">
        <v>402</v>
      </c>
      <c r="C1" s="512"/>
      <c r="D1" s="512"/>
      <c r="E1" s="275"/>
      <c r="F1" s="276"/>
      <c r="G1" s="276"/>
      <c r="H1" s="276"/>
      <c r="I1" s="276"/>
      <c r="J1" s="276"/>
      <c r="K1" s="276"/>
      <c r="L1" s="276"/>
      <c r="M1" s="276"/>
      <c r="N1" s="276"/>
      <c r="O1" s="277"/>
      <c r="P1" s="56"/>
      <c r="Q1" s="507" t="s">
        <v>414</v>
      </c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507" t="s">
        <v>415</v>
      </c>
      <c r="AL1" s="411"/>
      <c r="AM1" s="411"/>
      <c r="AN1" s="411"/>
      <c r="AO1" s="411"/>
      <c r="AP1" s="411"/>
      <c r="AQ1" s="411"/>
      <c r="AR1" s="411"/>
      <c r="AS1" s="411"/>
      <c r="AT1" s="411"/>
      <c r="AU1" s="411"/>
      <c r="AV1" s="411"/>
      <c r="AW1" s="411"/>
      <c r="AX1" s="411"/>
      <c r="AY1" s="411"/>
      <c r="AZ1" s="411"/>
      <c r="BA1" s="411"/>
      <c r="BB1" s="411"/>
      <c r="BC1" s="411"/>
      <c r="BD1" s="411"/>
      <c r="BE1" s="411"/>
      <c r="BF1" s="411"/>
      <c r="BG1" s="411"/>
      <c r="BH1" s="411"/>
      <c r="BI1" s="411"/>
      <c r="BJ1" s="411"/>
      <c r="BK1" s="411"/>
      <c r="BL1" s="411"/>
      <c r="BM1" s="411"/>
      <c r="BN1" s="411"/>
      <c r="BO1" s="411"/>
      <c r="BP1" s="411"/>
      <c r="BQ1" s="411"/>
      <c r="BR1" s="411"/>
      <c r="BS1" s="411"/>
      <c r="BT1" s="411"/>
      <c r="BU1" s="411"/>
      <c r="BV1" s="411"/>
      <c r="BW1" s="411"/>
      <c r="BX1" s="411"/>
      <c r="BY1" s="411"/>
      <c r="BZ1" s="411"/>
      <c r="CA1" s="411"/>
      <c r="CB1" s="411"/>
      <c r="CC1" s="411"/>
      <c r="CD1" s="411"/>
      <c r="CE1" s="411"/>
      <c r="CF1" s="411"/>
      <c r="CG1" s="411"/>
      <c r="CH1" s="411"/>
      <c r="CI1" s="411"/>
      <c r="CJ1" s="411"/>
      <c r="CK1" s="411"/>
      <c r="CL1" s="411"/>
      <c r="CM1" s="411"/>
      <c r="CN1" s="411"/>
      <c r="CO1" s="411"/>
      <c r="CP1" s="411"/>
      <c r="CQ1" s="411"/>
      <c r="CR1" s="411"/>
      <c r="CS1" s="411"/>
      <c r="CT1" s="411"/>
      <c r="CU1" s="411"/>
      <c r="CV1" s="411"/>
      <c r="CW1" s="411"/>
      <c r="CX1" s="411"/>
      <c r="CY1" s="411"/>
      <c r="CZ1" s="411"/>
      <c r="DA1" s="411"/>
      <c r="DB1" s="411"/>
      <c r="DC1" s="411"/>
      <c r="DD1" s="411"/>
      <c r="DE1" s="411"/>
      <c r="DF1" s="411"/>
      <c r="DG1" s="411"/>
      <c r="DH1" s="411"/>
      <c r="DI1" s="411"/>
      <c r="DJ1" s="411"/>
      <c r="DK1" s="411"/>
      <c r="DL1" s="411"/>
      <c r="DM1" s="411"/>
      <c r="DN1" s="411"/>
      <c r="DO1" s="411"/>
      <c r="DP1" s="411"/>
      <c r="DQ1" s="411"/>
      <c r="DR1" s="411"/>
      <c r="DS1" s="411"/>
      <c r="DT1" s="411"/>
      <c r="DU1" s="411"/>
      <c r="DV1" s="411"/>
      <c r="DW1" s="411"/>
      <c r="DX1" s="411"/>
      <c r="DY1" s="411"/>
      <c r="DZ1" s="411"/>
      <c r="EA1" s="411"/>
      <c r="EB1" s="411"/>
      <c r="EC1" s="411"/>
      <c r="ED1" s="411"/>
      <c r="EE1" s="411"/>
      <c r="EF1" s="411"/>
      <c r="EG1" s="411"/>
    </row>
    <row r="2" spans="1:137" s="352" customFormat="1" ht="12.75" customHeight="1">
      <c r="A2" s="276"/>
      <c r="B2" s="410" t="str">
        <f>"Diagnozuotų onkologinių susirgimų skaičius ir sergamumo rodikliai Lietuvoje  " &amp; GrafikaiSerg!A1 &amp; " metais. Vyrai ir moterys"</f>
        <v>Diagnozuotų onkologinių susirgimų skaičius ir sergamumo rodikliai Lietuvoje  2015 metais. Vyrai ir moterys</v>
      </c>
      <c r="C2" s="274"/>
      <c r="D2" s="276"/>
      <c r="E2" s="278"/>
      <c r="F2" s="276"/>
      <c r="G2" s="276"/>
      <c r="H2" s="276"/>
      <c r="I2" s="276"/>
      <c r="J2" s="276"/>
      <c r="K2" s="276"/>
      <c r="L2" s="276"/>
      <c r="M2" s="276"/>
      <c r="N2" s="276"/>
      <c r="O2" s="277"/>
      <c r="P2" s="360"/>
      <c r="Q2" s="507"/>
      <c r="R2" s="412" t="s">
        <v>354</v>
      </c>
      <c r="S2" s="508" t="s">
        <v>358</v>
      </c>
      <c r="T2" s="508"/>
      <c r="U2" s="508"/>
      <c r="V2" s="413">
        <f>GrafikaiSerg!A1</f>
        <v>2015</v>
      </c>
      <c r="W2" s="411" t="s">
        <v>357</v>
      </c>
      <c r="X2" s="414" t="str">
        <f>CONCATENATE("pop",RIGHT(V2,2),"m")</f>
        <v>pop15m</v>
      </c>
      <c r="Y2" s="411"/>
      <c r="Z2" s="411"/>
      <c r="AA2" s="411"/>
      <c r="AB2" s="411"/>
      <c r="AC2" s="411"/>
      <c r="AD2" s="411"/>
      <c r="AE2" s="411"/>
      <c r="AF2" s="411"/>
      <c r="AG2" s="411"/>
      <c r="AH2" s="411"/>
      <c r="AI2" s="411"/>
      <c r="AJ2" s="411"/>
      <c r="AK2" s="507"/>
      <c r="AL2" s="412" t="s">
        <v>354</v>
      </c>
      <c r="AM2" s="508" t="s">
        <v>358</v>
      </c>
      <c r="AN2" s="508"/>
      <c r="AO2" s="508"/>
      <c r="AP2" s="413">
        <f>V2</f>
        <v>2015</v>
      </c>
      <c r="AQ2" s="411" t="s">
        <v>357</v>
      </c>
      <c r="AR2" s="414" t="str">
        <f>X2</f>
        <v>pop15m</v>
      </c>
      <c r="AS2" s="411"/>
      <c r="AT2" s="411"/>
      <c r="AU2" s="411"/>
      <c r="AV2" s="411"/>
      <c r="AW2" s="411"/>
      <c r="AX2" s="411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411"/>
      <c r="CF2" s="411"/>
      <c r="CG2" s="411"/>
      <c r="CH2" s="411"/>
      <c r="CI2" s="411"/>
      <c r="CJ2" s="411"/>
      <c r="CK2" s="411"/>
      <c r="CL2" s="411"/>
      <c r="CM2" s="411"/>
      <c r="CN2" s="411"/>
      <c r="CO2" s="411"/>
      <c r="CP2" s="411"/>
      <c r="CQ2" s="411"/>
      <c r="CR2" s="411"/>
      <c r="CS2" s="411"/>
      <c r="CT2" s="411"/>
      <c r="CU2" s="411"/>
      <c r="CV2" s="411"/>
      <c r="CW2" s="411"/>
      <c r="CX2" s="411"/>
      <c r="CY2" s="411"/>
      <c r="CZ2" s="411"/>
      <c r="DA2" s="411"/>
      <c r="DB2" s="411"/>
      <c r="DC2" s="411"/>
      <c r="DD2" s="411"/>
      <c r="DE2" s="411"/>
      <c r="DF2" s="411"/>
      <c r="DG2" s="411"/>
      <c r="DH2" s="411"/>
      <c r="DI2" s="411"/>
      <c r="DJ2" s="411"/>
      <c r="DK2" s="411"/>
      <c r="DL2" s="411"/>
      <c r="DM2" s="411"/>
      <c r="DN2" s="411"/>
      <c r="DO2" s="411"/>
      <c r="DP2" s="411"/>
      <c r="DQ2" s="411"/>
      <c r="DR2" s="411"/>
      <c r="DS2" s="411"/>
      <c r="DT2" s="411"/>
      <c r="DU2" s="411"/>
      <c r="DV2" s="411"/>
      <c r="DW2" s="411"/>
      <c r="DX2" s="411"/>
      <c r="DY2" s="411"/>
      <c r="DZ2" s="411"/>
      <c r="EA2" s="411"/>
      <c r="EB2" s="411"/>
      <c r="EC2" s="411"/>
      <c r="ED2" s="411"/>
      <c r="EE2" s="411"/>
      <c r="EF2" s="411"/>
      <c r="EG2" s="411"/>
    </row>
    <row r="3" spans="1:137" s="352" customFormat="1" ht="12.75" customHeight="1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7"/>
      <c r="P3" s="361"/>
      <c r="Q3" s="415" t="s">
        <v>408</v>
      </c>
      <c r="R3" s="416">
        <f>SUM(S3:AJ3)</f>
        <v>100000</v>
      </c>
      <c r="S3" s="417">
        <v>8000</v>
      </c>
      <c r="T3" s="417">
        <v>7000</v>
      </c>
      <c r="U3" s="417">
        <v>7000</v>
      </c>
      <c r="V3" s="417">
        <v>7000</v>
      </c>
      <c r="W3" s="417">
        <v>7000</v>
      </c>
      <c r="X3" s="417">
        <v>7000</v>
      </c>
      <c r="Y3" s="417">
        <v>7000</v>
      </c>
      <c r="Z3" s="417">
        <v>7000</v>
      </c>
      <c r="AA3" s="417">
        <v>7000</v>
      </c>
      <c r="AB3" s="417">
        <v>7000</v>
      </c>
      <c r="AC3" s="417">
        <v>7000</v>
      </c>
      <c r="AD3" s="417">
        <v>6000</v>
      </c>
      <c r="AE3" s="417">
        <v>5000</v>
      </c>
      <c r="AF3" s="417">
        <v>4000</v>
      </c>
      <c r="AG3" s="417">
        <v>3000</v>
      </c>
      <c r="AH3" s="417">
        <v>2000</v>
      </c>
      <c r="AI3" s="417">
        <v>1000</v>
      </c>
      <c r="AJ3" s="417">
        <v>1000</v>
      </c>
      <c r="AK3" s="415" t="s">
        <v>409</v>
      </c>
      <c r="AL3" s="416">
        <f>SUM(AM3:BD3)</f>
        <v>100000</v>
      </c>
      <c r="AM3" s="414">
        <v>12000</v>
      </c>
      <c r="AN3" s="414">
        <v>10000</v>
      </c>
      <c r="AO3" s="414">
        <v>9000</v>
      </c>
      <c r="AP3" s="414">
        <v>9000</v>
      </c>
      <c r="AQ3" s="414">
        <v>8000</v>
      </c>
      <c r="AR3" s="414">
        <v>8000</v>
      </c>
      <c r="AS3" s="414">
        <v>6000</v>
      </c>
      <c r="AT3" s="414">
        <v>6000</v>
      </c>
      <c r="AU3" s="414">
        <v>6000</v>
      </c>
      <c r="AV3" s="414">
        <v>6000</v>
      </c>
      <c r="AW3" s="414">
        <v>5000</v>
      </c>
      <c r="AX3" s="414">
        <v>4000</v>
      </c>
      <c r="AY3" s="414">
        <v>4000</v>
      </c>
      <c r="AZ3" s="414">
        <v>3000</v>
      </c>
      <c r="BA3" s="414">
        <v>2000</v>
      </c>
      <c r="BB3" s="414">
        <v>1000</v>
      </c>
      <c r="BC3" s="414">
        <v>500</v>
      </c>
      <c r="BD3" s="414">
        <v>500</v>
      </c>
      <c r="BE3" s="411"/>
      <c r="BF3" s="411"/>
      <c r="BG3" s="411"/>
      <c r="BH3" s="411"/>
      <c r="BI3" s="411"/>
      <c r="BJ3" s="411"/>
      <c r="BK3" s="411"/>
      <c r="BL3" s="411"/>
      <c r="BM3" s="411"/>
      <c r="BN3" s="411"/>
      <c r="BO3" s="411"/>
      <c r="BP3" s="411"/>
      <c r="BQ3" s="411"/>
      <c r="BR3" s="411"/>
      <c r="BS3" s="411"/>
      <c r="BT3" s="411"/>
      <c r="BU3" s="411"/>
      <c r="BV3" s="411"/>
      <c r="BW3" s="411"/>
      <c r="BX3" s="411"/>
      <c r="BY3" s="411"/>
      <c r="BZ3" s="411"/>
      <c r="CA3" s="411"/>
      <c r="CB3" s="411"/>
      <c r="CC3" s="411"/>
      <c r="CD3" s="411"/>
      <c r="CE3" s="411"/>
      <c r="CF3" s="411"/>
      <c r="CG3" s="411"/>
      <c r="CH3" s="411"/>
      <c r="CI3" s="411"/>
      <c r="CJ3" s="411"/>
      <c r="CK3" s="411"/>
      <c r="CL3" s="411"/>
      <c r="CM3" s="411"/>
      <c r="CN3" s="411"/>
      <c r="CO3" s="411"/>
      <c r="CP3" s="411"/>
      <c r="CQ3" s="411"/>
      <c r="CR3" s="411"/>
      <c r="CS3" s="411"/>
      <c r="CT3" s="411"/>
      <c r="CU3" s="411"/>
      <c r="CV3" s="411"/>
      <c r="CW3" s="411"/>
      <c r="CX3" s="411"/>
      <c r="CY3" s="411"/>
      <c r="CZ3" s="411"/>
      <c r="DA3" s="411"/>
      <c r="DB3" s="411"/>
      <c r="DC3" s="411"/>
      <c r="DD3" s="411"/>
      <c r="DE3" s="411"/>
      <c r="DF3" s="411"/>
      <c r="DG3" s="411"/>
      <c r="DH3" s="411"/>
      <c r="DI3" s="411"/>
      <c r="DJ3" s="411"/>
      <c r="DK3" s="411"/>
      <c r="DL3" s="411"/>
      <c r="DM3" s="411"/>
      <c r="DN3" s="411"/>
      <c r="DO3" s="411"/>
      <c r="DP3" s="411"/>
      <c r="DQ3" s="411"/>
      <c r="DR3" s="411"/>
      <c r="DS3" s="411"/>
      <c r="DT3" s="411"/>
      <c r="DU3" s="411"/>
      <c r="DV3" s="411"/>
      <c r="DW3" s="411"/>
      <c r="DX3" s="411"/>
      <c r="DY3" s="411"/>
      <c r="DZ3" s="411"/>
      <c r="EA3" s="411"/>
      <c r="EB3" s="411"/>
      <c r="EC3" s="411"/>
      <c r="ED3" s="411"/>
      <c r="EE3" s="411"/>
      <c r="EF3" s="411"/>
      <c r="EG3" s="411"/>
    </row>
    <row r="4" spans="1:137" s="352" customFormat="1" ht="12.75" customHeight="1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7"/>
      <c r="P4" s="361"/>
      <c r="Q4" s="414" t="s">
        <v>416</v>
      </c>
      <c r="R4" s="416">
        <f>SUM(S4:AJ4)</f>
        <v>1337932</v>
      </c>
      <c r="S4" s="418">
        <f>HLOOKUP($X$2,Populiacija!$B$1:$BB$20,2,FALSE)</f>
        <v>77411</v>
      </c>
      <c r="T4" s="418">
        <f>HLOOKUP($X$2,Populiacija!$B$1:$BB$20,3,FALSE)</f>
        <v>71269</v>
      </c>
      <c r="U4" s="418">
        <f>HLOOKUP($X$2,Populiacija!$B$1:$BB$20,4,FALSE)</f>
        <v>68846</v>
      </c>
      <c r="V4" s="418">
        <f>HLOOKUP($X$2,Populiacija!$B$1:$BB$20,5,FALSE)</f>
        <v>85448</v>
      </c>
      <c r="W4" s="418">
        <f>HLOOKUP($X$2,Populiacija!$B$1:$BB$20,6,FALSE)</f>
        <v>103455</v>
      </c>
      <c r="X4" s="418">
        <f>HLOOKUP($X$2,Populiacija!$B$1:$BB$20,7,FALSE)</f>
        <v>100471</v>
      </c>
      <c r="Y4" s="418">
        <f>HLOOKUP($X$2,Populiacija!$B$1:$BB$20,8,FALSE)</f>
        <v>90329</v>
      </c>
      <c r="Z4" s="418">
        <f>HLOOKUP($X$2,Populiacija!$B$1:$BB$20,9,FALSE)</f>
        <v>87159</v>
      </c>
      <c r="AA4" s="418">
        <f>HLOOKUP($X$2,Populiacija!$B$1:$BB$20,10,FALSE)</f>
        <v>95371</v>
      </c>
      <c r="AB4" s="418">
        <f>HLOOKUP($X$2,Populiacija!$B$1:$BB$20,11,FALSE)</f>
        <v>98989</v>
      </c>
      <c r="AC4" s="418">
        <f>HLOOKUP($X$2,Populiacija!$B$1:$BB$20,12,FALSE)</f>
        <v>105736</v>
      </c>
      <c r="AD4" s="418">
        <f>HLOOKUP($X$2,Populiacija!$B$1:$BB$20,13,FALSE)</f>
        <v>96361</v>
      </c>
      <c r="AE4" s="418">
        <f>HLOOKUP($X$2,Populiacija!$B$1:$BB$20,14,FALSE)</f>
        <v>72856</v>
      </c>
      <c r="AF4" s="418">
        <f>HLOOKUP($X$2,Populiacija!$B$1:$BB$20,15,FALSE)</f>
        <v>57241</v>
      </c>
      <c r="AG4" s="418">
        <f>HLOOKUP($X$2,Populiacija!$B$1:$BB$20,16,FALSE)</f>
        <v>47318</v>
      </c>
      <c r="AH4" s="418">
        <f>HLOOKUP($X$2,Populiacija!$B$1:$BB$20,17,FALSE)</f>
        <v>39525</v>
      </c>
      <c r="AI4" s="418">
        <f>HLOOKUP($X$2,Populiacija!$B$1:$BB$20,18,FALSE)</f>
        <v>24886</v>
      </c>
      <c r="AJ4" s="418">
        <f>HLOOKUP($X$2,Populiacija!$B$1:$BB$20,19,FALSE)</f>
        <v>15261</v>
      </c>
      <c r="AK4" s="414" t="s">
        <v>416</v>
      </c>
      <c r="AL4" s="416">
        <f>SUM(AM4:BD4)</f>
        <v>1337932</v>
      </c>
      <c r="AM4" s="418">
        <f>HLOOKUP($X$2,Populiacija!$B$1:$BB$20,2,FALSE)</f>
        <v>77411</v>
      </c>
      <c r="AN4" s="418">
        <f>HLOOKUP($X$2,Populiacija!$B$1:$BB$20,3,FALSE)</f>
        <v>71269</v>
      </c>
      <c r="AO4" s="418">
        <f>HLOOKUP($X$2,Populiacija!$B$1:$BB$20,4,FALSE)</f>
        <v>68846</v>
      </c>
      <c r="AP4" s="418">
        <f>HLOOKUP($X$2,Populiacija!$B$1:$BB$20,5,FALSE)</f>
        <v>85448</v>
      </c>
      <c r="AQ4" s="418">
        <f>HLOOKUP($X$2,Populiacija!$B$1:$BB$20,6,FALSE)</f>
        <v>103455</v>
      </c>
      <c r="AR4" s="418">
        <f>HLOOKUP($X$2,Populiacija!$B$1:$BB$20,7,FALSE)</f>
        <v>100471</v>
      </c>
      <c r="AS4" s="418">
        <f>HLOOKUP($X$2,Populiacija!$B$1:$BB$20,8,FALSE)</f>
        <v>90329</v>
      </c>
      <c r="AT4" s="418">
        <f>HLOOKUP($X$2,Populiacija!$B$1:$BB$20,9,FALSE)</f>
        <v>87159</v>
      </c>
      <c r="AU4" s="418">
        <f>HLOOKUP($X$2,Populiacija!$B$1:$BB$20,10,FALSE)</f>
        <v>95371</v>
      </c>
      <c r="AV4" s="418">
        <f>HLOOKUP($X$2,Populiacija!$B$1:$BB$20,11,FALSE)</f>
        <v>98989</v>
      </c>
      <c r="AW4" s="418">
        <f>HLOOKUP($X$2,Populiacija!$B$1:$BB$20,12,FALSE)</f>
        <v>105736</v>
      </c>
      <c r="AX4" s="418">
        <f>HLOOKUP($X$2,Populiacija!$B$1:$BB$20,13,FALSE)</f>
        <v>96361</v>
      </c>
      <c r="AY4" s="418">
        <f>HLOOKUP($X$2,Populiacija!$B$1:$BB$20,14,FALSE)</f>
        <v>72856</v>
      </c>
      <c r="AZ4" s="418">
        <f>HLOOKUP($X$2,Populiacija!$B$1:$BB$20,15,FALSE)</f>
        <v>57241</v>
      </c>
      <c r="BA4" s="418">
        <f>HLOOKUP($X$2,Populiacija!$B$1:$BB$20,16,FALSE)</f>
        <v>47318</v>
      </c>
      <c r="BB4" s="418">
        <f>HLOOKUP($X$2,Populiacija!$B$1:$BB$20,17,FALSE)</f>
        <v>39525</v>
      </c>
      <c r="BC4" s="418">
        <f>HLOOKUP($X$2,Populiacija!$B$1:$BB$20,18,FALSE)</f>
        <v>24886</v>
      </c>
      <c r="BD4" s="418">
        <f>HLOOKUP($X$2,Populiacija!$B$1:$BB$20,19,FALSE)</f>
        <v>15261</v>
      </c>
      <c r="BE4" s="411"/>
      <c r="BF4" s="411"/>
      <c r="BG4" s="411"/>
      <c r="BH4" s="411"/>
      <c r="BI4" s="411"/>
      <c r="BJ4" s="411"/>
      <c r="BK4" s="411"/>
      <c r="BL4" s="411"/>
      <c r="BM4" s="411"/>
      <c r="BN4" s="411"/>
      <c r="BO4" s="411"/>
      <c r="BP4" s="411"/>
      <c r="BQ4" s="411"/>
      <c r="BR4" s="411"/>
      <c r="BS4" s="411"/>
      <c r="BT4" s="411"/>
      <c r="BU4" s="411"/>
      <c r="BV4" s="411"/>
      <c r="BW4" s="411"/>
      <c r="BX4" s="411"/>
      <c r="BY4" s="411"/>
      <c r="BZ4" s="411"/>
      <c r="CA4" s="411"/>
      <c r="CB4" s="411"/>
      <c r="CC4" s="411"/>
      <c r="CD4" s="411"/>
      <c r="CE4" s="411"/>
      <c r="CF4" s="411"/>
      <c r="CG4" s="411"/>
      <c r="CH4" s="411"/>
      <c r="CI4" s="411"/>
      <c r="CJ4" s="411"/>
      <c r="CK4" s="411"/>
      <c r="CL4" s="411"/>
      <c r="CM4" s="411"/>
      <c r="CN4" s="411"/>
      <c r="CO4" s="411"/>
      <c r="CP4" s="411"/>
      <c r="CQ4" s="411"/>
      <c r="CR4" s="411"/>
      <c r="CS4" s="411"/>
      <c r="CT4" s="411"/>
      <c r="CU4" s="411"/>
      <c r="CV4" s="411"/>
      <c r="CW4" s="411"/>
      <c r="CX4" s="411"/>
      <c r="CY4" s="411"/>
      <c r="CZ4" s="411"/>
      <c r="DA4" s="411"/>
      <c r="DB4" s="411"/>
      <c r="DC4" s="411"/>
      <c r="DD4" s="411"/>
      <c r="DE4" s="411"/>
      <c r="DF4" s="411"/>
      <c r="DG4" s="411"/>
      <c r="DH4" s="411"/>
      <c r="DI4" s="411"/>
      <c r="DJ4" s="411"/>
      <c r="DK4" s="411"/>
      <c r="DL4" s="411"/>
      <c r="DM4" s="411"/>
      <c r="DN4" s="411"/>
      <c r="DO4" s="411"/>
      <c r="DP4" s="411"/>
      <c r="DQ4" s="411"/>
      <c r="DR4" s="411"/>
      <c r="DS4" s="411"/>
      <c r="DT4" s="411"/>
      <c r="DU4" s="411"/>
      <c r="DV4" s="411"/>
      <c r="DW4" s="411"/>
      <c r="DX4" s="411"/>
      <c r="DY4" s="411"/>
      <c r="DZ4" s="411"/>
      <c r="EA4" s="411"/>
      <c r="EB4" s="411"/>
      <c r="EC4" s="411"/>
      <c r="ED4" s="411"/>
      <c r="EE4" s="411"/>
      <c r="EF4" s="411"/>
      <c r="EG4" s="411"/>
    </row>
    <row r="5" spans="1:137" s="352" customFormat="1" ht="12.75" customHeight="1">
      <c r="A5" s="276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7"/>
      <c r="P5" s="361"/>
      <c r="Q5" s="414" t="s">
        <v>450</v>
      </c>
      <c r="R5" s="416">
        <f>SUM(S5:AJ5)</f>
        <v>1566978</v>
      </c>
      <c r="S5" s="418">
        <f>HLOOKUP($X$2,Populiacija!$B$1:$BB$40,23,FALSE)</f>
        <v>73573</v>
      </c>
      <c r="T5" s="418">
        <f>HLOOKUP($X$2,Populiacija!$B$1:$BB$40,24,FALSE)</f>
        <v>68112</v>
      </c>
      <c r="U5" s="418">
        <f>HLOOKUP($X$2,Populiacija!$B$1:$BB$40,25,FALSE)</f>
        <v>65394</v>
      </c>
      <c r="V5" s="418">
        <f>HLOOKUP($X$2,Populiacija!$B$1:$BB$40,26,FALSE)</f>
        <v>80822</v>
      </c>
      <c r="W5" s="418">
        <f>HLOOKUP($X$2,Populiacija!$B$1:$BB$40,27,FALSE)</f>
        <v>98060</v>
      </c>
      <c r="X5" s="418">
        <f>HLOOKUP($X$2,Populiacija!$B$1:$BB$40,28,FALSE)</f>
        <v>95144</v>
      </c>
      <c r="Y5" s="418">
        <f>HLOOKUP($X$2,Populiacija!$B$1:$BB$40,29,FALSE)</f>
        <v>87782</v>
      </c>
      <c r="Z5" s="418">
        <f>HLOOKUP($X$2,Populiacija!$B$1:$BB$40,30,FALSE)</f>
        <v>89193</v>
      </c>
      <c r="AA5" s="418">
        <f>HLOOKUP($X$2,Populiacija!$B$1:$BB$40,31,FALSE)</f>
        <v>102361</v>
      </c>
      <c r="AB5" s="418">
        <f>HLOOKUP($X$2,Populiacija!$B$1:$BB$40,32,FALSE)</f>
        <v>108831</v>
      </c>
      <c r="AC5" s="418">
        <f>HLOOKUP($X$2,Populiacija!$B$1:$BB$40,33,FALSE)</f>
        <v>119456</v>
      </c>
      <c r="AD5" s="418">
        <f>HLOOKUP($X$2,Populiacija!$B$1:$BB$40,34,FALSE)</f>
        <v>116878</v>
      </c>
      <c r="AE5" s="418">
        <f>HLOOKUP($X$2,Populiacija!$B$1:$BB$40,35,FALSE)</f>
        <v>97783</v>
      </c>
      <c r="AF5" s="418">
        <f>HLOOKUP($X$2,Populiacija!$B$1:$BB$40,36,FALSE)</f>
        <v>88018</v>
      </c>
      <c r="AG5" s="418">
        <f>HLOOKUP($X$2,Populiacija!$B$1:$BB$40,37,FALSE)</f>
        <v>84213</v>
      </c>
      <c r="AH5" s="418">
        <f>HLOOKUP($X$2,Populiacija!$B$1:$BB$40,38,FALSE)</f>
        <v>81014</v>
      </c>
      <c r="AI5" s="418">
        <f>HLOOKUP($X$2,Populiacija!$B$1:$BB$40,39,FALSE)</f>
        <v>61046</v>
      </c>
      <c r="AJ5" s="418">
        <f>HLOOKUP($X$2,Populiacija!$B$1:$BB$40,40,FALSE)</f>
        <v>49298</v>
      </c>
      <c r="AK5" s="414" t="s">
        <v>450</v>
      </c>
      <c r="AL5" s="416">
        <f>SUM(AM5:BD5)</f>
        <v>1566978</v>
      </c>
      <c r="AM5" s="418">
        <f>HLOOKUP($X$2,Populiacija!$B$1:$BB$40,23,FALSE)</f>
        <v>73573</v>
      </c>
      <c r="AN5" s="418">
        <f>HLOOKUP($X$2,Populiacija!$B$1:$BB$40,24,FALSE)</f>
        <v>68112</v>
      </c>
      <c r="AO5" s="418">
        <f>HLOOKUP($X$2,Populiacija!$B$1:$BB$40,25,FALSE)</f>
        <v>65394</v>
      </c>
      <c r="AP5" s="418">
        <f>HLOOKUP($X$2,Populiacija!$B$1:$BB$40,26,FALSE)</f>
        <v>80822</v>
      </c>
      <c r="AQ5" s="418">
        <f>HLOOKUP($X$2,Populiacija!$B$1:$BB$40,27,FALSE)</f>
        <v>98060</v>
      </c>
      <c r="AR5" s="418">
        <f>HLOOKUP($X$2,Populiacija!$B$1:$BB$40,28,FALSE)</f>
        <v>95144</v>
      </c>
      <c r="AS5" s="418">
        <f>HLOOKUP($X$2,Populiacija!$B$1:$BB$40,29,FALSE)</f>
        <v>87782</v>
      </c>
      <c r="AT5" s="418">
        <f>HLOOKUP($X$2,Populiacija!$B$1:$BB$40,30,FALSE)</f>
        <v>89193</v>
      </c>
      <c r="AU5" s="418">
        <f>HLOOKUP($X$2,Populiacija!$B$1:$BB$40,31,FALSE)</f>
        <v>102361</v>
      </c>
      <c r="AV5" s="418">
        <f>HLOOKUP($X$2,Populiacija!$B$1:$BB$40,32,FALSE)</f>
        <v>108831</v>
      </c>
      <c r="AW5" s="418">
        <f>HLOOKUP($X$2,Populiacija!$B$1:$BB$40,33,FALSE)</f>
        <v>119456</v>
      </c>
      <c r="AX5" s="418">
        <f>HLOOKUP($X$2,Populiacija!$B$1:$BB$40,34,FALSE)</f>
        <v>116878</v>
      </c>
      <c r="AY5" s="418">
        <f>HLOOKUP($X$2,Populiacija!$B$1:$BB$40,35,FALSE)</f>
        <v>97783</v>
      </c>
      <c r="AZ5" s="418">
        <f>HLOOKUP($X$2,Populiacija!$B$1:$BB$40,36,FALSE)</f>
        <v>88018</v>
      </c>
      <c r="BA5" s="418">
        <f>HLOOKUP($X$2,Populiacija!$B$1:$BB$40,37,FALSE)</f>
        <v>84213</v>
      </c>
      <c r="BB5" s="418">
        <f>HLOOKUP($X$2,Populiacija!$B$1:$BB$40,38,FALSE)</f>
        <v>81014</v>
      </c>
      <c r="BC5" s="418">
        <f>HLOOKUP($X$2,Populiacija!$B$1:$BB$40,39,FALSE)</f>
        <v>61046</v>
      </c>
      <c r="BD5" s="418">
        <f>HLOOKUP($X$2,Populiacija!$B$1:$BB$40,40,FALSE)</f>
        <v>49298</v>
      </c>
      <c r="BE5" s="411"/>
      <c r="BF5" s="411"/>
      <c r="BG5" s="411"/>
      <c r="BH5" s="411"/>
      <c r="BI5" s="411"/>
      <c r="BJ5" s="411"/>
      <c r="BK5" s="411"/>
      <c r="BL5" s="411"/>
      <c r="BM5" s="411"/>
      <c r="BN5" s="411"/>
      <c r="BO5" s="411"/>
      <c r="BP5" s="411"/>
      <c r="BQ5" s="411"/>
      <c r="BR5" s="411"/>
      <c r="BS5" s="411"/>
      <c r="BT5" s="411"/>
      <c r="BU5" s="411"/>
      <c r="BV5" s="411"/>
      <c r="BW5" s="411"/>
      <c r="BX5" s="411"/>
      <c r="BY5" s="411"/>
      <c r="BZ5" s="411"/>
      <c r="CA5" s="411"/>
      <c r="CB5" s="411"/>
      <c r="CC5" s="411"/>
      <c r="CD5" s="411"/>
      <c r="CE5" s="411"/>
      <c r="CF5" s="411"/>
      <c r="CG5" s="411"/>
      <c r="CH5" s="411"/>
      <c r="CI5" s="411"/>
      <c r="CJ5" s="411"/>
      <c r="CK5" s="411"/>
      <c r="CL5" s="411"/>
      <c r="CM5" s="411"/>
      <c r="CN5" s="411"/>
      <c r="CO5" s="411"/>
      <c r="CP5" s="411"/>
      <c r="CQ5" s="411"/>
      <c r="CR5" s="411"/>
      <c r="CS5" s="411"/>
      <c r="CT5" s="411"/>
      <c r="CU5" s="411"/>
      <c r="CV5" s="411"/>
      <c r="CW5" s="411"/>
      <c r="CX5" s="411"/>
      <c r="CY5" s="411"/>
      <c r="CZ5" s="411"/>
      <c r="DA5" s="411"/>
      <c r="DB5" s="411"/>
      <c r="DC5" s="411"/>
      <c r="DD5" s="411"/>
      <c r="DE5" s="411"/>
      <c r="DF5" s="411"/>
      <c r="DG5" s="411"/>
      <c r="DH5" s="411"/>
      <c r="DI5" s="411"/>
      <c r="DJ5" s="411"/>
      <c r="DK5" s="411"/>
      <c r="DL5" s="411"/>
      <c r="DM5" s="411"/>
      <c r="DN5" s="411"/>
      <c r="DO5" s="411"/>
      <c r="DP5" s="411"/>
      <c r="DQ5" s="411"/>
      <c r="DR5" s="411"/>
      <c r="DS5" s="411"/>
      <c r="DT5" s="411"/>
      <c r="DU5" s="411"/>
      <c r="DV5" s="411"/>
      <c r="DW5" s="411"/>
      <c r="DX5" s="411"/>
      <c r="DY5" s="411"/>
      <c r="DZ5" s="411"/>
      <c r="EA5" s="411"/>
      <c r="EB5" s="411"/>
      <c r="EC5" s="411"/>
      <c r="ED5" s="411"/>
      <c r="EE5" s="411"/>
      <c r="EF5" s="411"/>
      <c r="EG5" s="411"/>
    </row>
    <row r="6" spans="1:137" s="352" customFormat="1" ht="12.95" customHeight="1">
      <c r="A6" s="276"/>
      <c r="B6" s="509" t="s">
        <v>351</v>
      </c>
      <c r="C6" s="509" t="s">
        <v>244</v>
      </c>
      <c r="D6" s="513" t="s">
        <v>268</v>
      </c>
      <c r="E6" s="515" t="s">
        <v>355</v>
      </c>
      <c r="F6" s="511" t="s">
        <v>359</v>
      </c>
      <c r="G6" s="511"/>
      <c r="H6" s="279"/>
      <c r="I6" s="279"/>
      <c r="J6" s="279"/>
      <c r="K6" s="279"/>
      <c r="L6" s="279"/>
      <c r="M6" s="279"/>
      <c r="N6" s="279"/>
      <c r="O6" s="277"/>
      <c r="P6" s="362"/>
      <c r="Q6" s="414" t="s">
        <v>451</v>
      </c>
      <c r="R6" s="416">
        <f>SUM(R4:R5)</f>
        <v>2904910</v>
      </c>
      <c r="S6" s="416">
        <f t="shared" ref="S6:BD6" si="0">SUM(S4:S5)</f>
        <v>150984</v>
      </c>
      <c r="T6" s="416">
        <f t="shared" si="0"/>
        <v>139381</v>
      </c>
      <c r="U6" s="416">
        <f t="shared" si="0"/>
        <v>134240</v>
      </c>
      <c r="V6" s="416">
        <f t="shared" si="0"/>
        <v>166270</v>
      </c>
      <c r="W6" s="416">
        <f t="shared" si="0"/>
        <v>201515</v>
      </c>
      <c r="X6" s="416">
        <f t="shared" si="0"/>
        <v>195615</v>
      </c>
      <c r="Y6" s="416">
        <f t="shared" si="0"/>
        <v>178111</v>
      </c>
      <c r="Z6" s="416">
        <f t="shared" si="0"/>
        <v>176352</v>
      </c>
      <c r="AA6" s="416">
        <f t="shared" si="0"/>
        <v>197732</v>
      </c>
      <c r="AB6" s="416">
        <f t="shared" si="0"/>
        <v>207820</v>
      </c>
      <c r="AC6" s="416">
        <f t="shared" si="0"/>
        <v>225192</v>
      </c>
      <c r="AD6" s="416">
        <f t="shared" si="0"/>
        <v>213239</v>
      </c>
      <c r="AE6" s="416">
        <f t="shared" si="0"/>
        <v>170639</v>
      </c>
      <c r="AF6" s="416">
        <f t="shared" si="0"/>
        <v>145259</v>
      </c>
      <c r="AG6" s="416">
        <f t="shared" si="0"/>
        <v>131531</v>
      </c>
      <c r="AH6" s="416">
        <f t="shared" si="0"/>
        <v>120539</v>
      </c>
      <c r="AI6" s="416">
        <f t="shared" si="0"/>
        <v>85932</v>
      </c>
      <c r="AJ6" s="416">
        <f t="shared" si="0"/>
        <v>64559</v>
      </c>
      <c r="AK6" s="414" t="s">
        <v>451</v>
      </c>
      <c r="AL6" s="416">
        <f t="shared" si="0"/>
        <v>2904910</v>
      </c>
      <c r="AM6" s="416">
        <f t="shared" si="0"/>
        <v>150984</v>
      </c>
      <c r="AN6" s="416">
        <f t="shared" si="0"/>
        <v>139381</v>
      </c>
      <c r="AO6" s="416">
        <f t="shared" si="0"/>
        <v>134240</v>
      </c>
      <c r="AP6" s="416">
        <f t="shared" si="0"/>
        <v>166270</v>
      </c>
      <c r="AQ6" s="416">
        <f t="shared" si="0"/>
        <v>201515</v>
      </c>
      <c r="AR6" s="416">
        <f t="shared" si="0"/>
        <v>195615</v>
      </c>
      <c r="AS6" s="416">
        <f t="shared" si="0"/>
        <v>178111</v>
      </c>
      <c r="AT6" s="416">
        <f t="shared" si="0"/>
        <v>176352</v>
      </c>
      <c r="AU6" s="416">
        <f t="shared" si="0"/>
        <v>197732</v>
      </c>
      <c r="AV6" s="416">
        <f t="shared" si="0"/>
        <v>207820</v>
      </c>
      <c r="AW6" s="416">
        <f t="shared" si="0"/>
        <v>225192</v>
      </c>
      <c r="AX6" s="416">
        <f t="shared" si="0"/>
        <v>213239</v>
      </c>
      <c r="AY6" s="416">
        <f t="shared" si="0"/>
        <v>170639</v>
      </c>
      <c r="AZ6" s="416">
        <f t="shared" si="0"/>
        <v>145259</v>
      </c>
      <c r="BA6" s="416">
        <f t="shared" si="0"/>
        <v>131531</v>
      </c>
      <c r="BB6" s="416">
        <f t="shared" si="0"/>
        <v>120539</v>
      </c>
      <c r="BC6" s="416">
        <f t="shared" si="0"/>
        <v>85932</v>
      </c>
      <c r="BD6" s="416">
        <f t="shared" si="0"/>
        <v>64559</v>
      </c>
      <c r="BE6" s="411"/>
      <c r="BF6" s="411"/>
      <c r="BG6" s="411"/>
      <c r="BH6" s="411"/>
      <c r="BI6" s="411"/>
      <c r="BJ6" s="411"/>
      <c r="BK6" s="411"/>
      <c r="BL6" s="411"/>
      <c r="BM6" s="411"/>
      <c r="BN6" s="411"/>
      <c r="BO6" s="411"/>
      <c r="BP6" s="411"/>
      <c r="BQ6" s="411"/>
      <c r="BR6" s="411"/>
      <c r="BS6" s="411"/>
      <c r="BT6" s="411"/>
      <c r="BU6" s="411"/>
      <c r="BV6" s="411"/>
      <c r="BW6" s="411"/>
      <c r="BX6" s="411"/>
      <c r="BY6" s="411"/>
      <c r="BZ6" s="411"/>
      <c r="CA6" s="411"/>
      <c r="CB6" s="411"/>
      <c r="CC6" s="411"/>
      <c r="CD6" s="411"/>
      <c r="CE6" s="411"/>
      <c r="CF6" s="411"/>
      <c r="CG6" s="411"/>
      <c r="CH6" s="411"/>
      <c r="CI6" s="411"/>
      <c r="CJ6" s="411"/>
      <c r="CK6" s="411"/>
      <c r="CL6" s="411"/>
      <c r="CM6" s="411"/>
      <c r="CN6" s="411"/>
      <c r="CO6" s="411"/>
      <c r="CP6" s="411"/>
      <c r="CQ6" s="411"/>
      <c r="CR6" s="411"/>
      <c r="CS6" s="411"/>
      <c r="CT6" s="411"/>
      <c r="CU6" s="411"/>
      <c r="CV6" s="411"/>
      <c r="CW6" s="411"/>
      <c r="CX6" s="411"/>
      <c r="CY6" s="411"/>
      <c r="CZ6" s="411"/>
      <c r="DA6" s="411"/>
      <c r="DB6" s="411"/>
      <c r="DC6" s="411"/>
      <c r="DD6" s="411"/>
      <c r="DE6" s="411"/>
      <c r="DF6" s="411"/>
      <c r="DG6" s="411"/>
      <c r="DH6" s="411"/>
      <c r="DI6" s="411"/>
      <c r="DJ6" s="411"/>
      <c r="DK6" s="411"/>
      <c r="DL6" s="411"/>
      <c r="DM6" s="411"/>
      <c r="DN6" s="411"/>
      <c r="DO6" s="411"/>
      <c r="DP6" s="411"/>
      <c r="DQ6" s="411"/>
      <c r="DR6" s="411"/>
      <c r="DS6" s="411"/>
      <c r="DT6" s="411"/>
      <c r="DU6" s="411"/>
      <c r="DV6" s="411"/>
      <c r="DW6" s="411"/>
      <c r="DX6" s="411"/>
      <c r="DY6" s="411"/>
      <c r="DZ6" s="411"/>
      <c r="EA6" s="411"/>
      <c r="EB6" s="411"/>
      <c r="EC6" s="411"/>
      <c r="ED6" s="411"/>
      <c r="EE6" s="411"/>
      <c r="EF6" s="411"/>
      <c r="EG6" s="411"/>
    </row>
    <row r="7" spans="1:137" s="352" customFormat="1" ht="12.95" customHeight="1" thickBot="1">
      <c r="A7" s="276"/>
      <c r="B7" s="510"/>
      <c r="C7" s="510"/>
      <c r="D7" s="514"/>
      <c r="E7" s="516"/>
      <c r="F7" s="282" t="s">
        <v>425</v>
      </c>
      <c r="G7" s="282" t="s">
        <v>426</v>
      </c>
      <c r="H7" s="279"/>
      <c r="I7" s="279"/>
      <c r="J7" s="279"/>
      <c r="K7" s="279"/>
      <c r="L7" s="279"/>
      <c r="M7" s="279"/>
      <c r="N7" s="279"/>
      <c r="O7" s="280"/>
      <c r="P7" s="363"/>
      <c r="Q7" s="414" t="s">
        <v>352</v>
      </c>
      <c r="R7" s="419"/>
      <c r="S7" s="420" t="s">
        <v>13</v>
      </c>
      <c r="T7" s="421" t="s">
        <v>11</v>
      </c>
      <c r="U7" s="421" t="s">
        <v>12</v>
      </c>
      <c r="V7" s="420" t="s">
        <v>14</v>
      </c>
      <c r="W7" s="420" t="s">
        <v>15</v>
      </c>
      <c r="X7" s="420" t="s">
        <v>16</v>
      </c>
      <c r="Y7" s="420" t="s">
        <v>158</v>
      </c>
      <c r="Z7" s="420" t="s">
        <v>17</v>
      </c>
      <c r="AA7" s="420" t="s">
        <v>18</v>
      </c>
      <c r="AB7" s="420" t="s">
        <v>19</v>
      </c>
      <c r="AC7" s="420" t="s">
        <v>20</v>
      </c>
      <c r="AD7" s="420" t="s">
        <v>21</v>
      </c>
      <c r="AE7" s="420" t="s">
        <v>159</v>
      </c>
      <c r="AF7" s="420" t="s">
        <v>160</v>
      </c>
      <c r="AG7" s="420" t="s">
        <v>161</v>
      </c>
      <c r="AH7" s="420" t="s">
        <v>162</v>
      </c>
      <c r="AI7" s="420" t="s">
        <v>22</v>
      </c>
      <c r="AJ7" s="420" t="s">
        <v>23</v>
      </c>
      <c r="AK7" s="414" t="s">
        <v>352</v>
      </c>
      <c r="AL7" s="419"/>
      <c r="AM7" s="422" t="s">
        <v>13</v>
      </c>
      <c r="AN7" s="423" t="s">
        <v>11</v>
      </c>
      <c r="AO7" s="423" t="s">
        <v>12</v>
      </c>
      <c r="AP7" s="422" t="s">
        <v>14</v>
      </c>
      <c r="AQ7" s="420" t="s">
        <v>15</v>
      </c>
      <c r="AR7" s="420" t="s">
        <v>16</v>
      </c>
      <c r="AS7" s="420" t="s">
        <v>158</v>
      </c>
      <c r="AT7" s="420" t="s">
        <v>17</v>
      </c>
      <c r="AU7" s="420" t="s">
        <v>18</v>
      </c>
      <c r="AV7" s="420" t="s">
        <v>19</v>
      </c>
      <c r="AW7" s="420" t="s">
        <v>20</v>
      </c>
      <c r="AX7" s="420" t="s">
        <v>21</v>
      </c>
      <c r="AY7" s="420" t="s">
        <v>159</v>
      </c>
      <c r="AZ7" s="420" t="s">
        <v>160</v>
      </c>
      <c r="BA7" s="420" t="s">
        <v>161</v>
      </c>
      <c r="BB7" s="420" t="s">
        <v>162</v>
      </c>
      <c r="BC7" s="420" t="s">
        <v>22</v>
      </c>
      <c r="BD7" s="420" t="s">
        <v>23</v>
      </c>
      <c r="BE7" s="411"/>
      <c r="BF7" s="411"/>
      <c r="BG7" s="411"/>
      <c r="BH7" s="411"/>
      <c r="BI7" s="411"/>
      <c r="BJ7" s="411"/>
      <c r="BK7" s="411"/>
      <c r="BL7" s="411"/>
      <c r="BM7" s="411"/>
      <c r="BN7" s="411"/>
      <c r="BO7" s="411"/>
      <c r="BP7" s="411"/>
      <c r="BQ7" s="411"/>
      <c r="BR7" s="411"/>
      <c r="BS7" s="411"/>
      <c r="BT7" s="411"/>
      <c r="BU7" s="411"/>
      <c r="BV7" s="411"/>
      <c r="BW7" s="411"/>
      <c r="BX7" s="411"/>
      <c r="BY7" s="411"/>
      <c r="BZ7" s="411"/>
      <c r="CA7" s="411"/>
      <c r="CB7" s="411"/>
      <c r="CC7" s="411"/>
      <c r="CD7" s="411"/>
      <c r="CE7" s="411"/>
      <c r="CF7" s="411"/>
      <c r="CG7" s="411"/>
      <c r="CH7" s="411"/>
      <c r="CI7" s="411"/>
      <c r="CJ7" s="411"/>
      <c r="CK7" s="411"/>
      <c r="CL7" s="411"/>
      <c r="CM7" s="411"/>
      <c r="CN7" s="411"/>
      <c r="CO7" s="411"/>
      <c r="CP7" s="411"/>
      <c r="CQ7" s="411"/>
      <c r="CR7" s="411"/>
      <c r="CS7" s="411"/>
      <c r="CT7" s="411"/>
      <c r="CU7" s="411"/>
      <c r="CV7" s="411"/>
      <c r="CW7" s="411"/>
      <c r="CX7" s="411"/>
      <c r="CY7" s="411"/>
      <c r="CZ7" s="411"/>
      <c r="DA7" s="411"/>
      <c r="DB7" s="411"/>
      <c r="DC7" s="411"/>
      <c r="DD7" s="411"/>
      <c r="DE7" s="411"/>
      <c r="DF7" s="411"/>
      <c r="DG7" s="411"/>
      <c r="DH7" s="411"/>
      <c r="DI7" s="411"/>
      <c r="DJ7" s="411"/>
      <c r="DK7" s="411"/>
      <c r="DL7" s="411"/>
      <c r="DM7" s="411"/>
      <c r="DN7" s="411"/>
      <c r="DO7" s="411"/>
      <c r="DP7" s="411"/>
      <c r="DQ7" s="411"/>
      <c r="DR7" s="411"/>
      <c r="DS7" s="411"/>
      <c r="DT7" s="411"/>
      <c r="DU7" s="411"/>
      <c r="DV7" s="411"/>
      <c r="DW7" s="411"/>
      <c r="DX7" s="411"/>
      <c r="DY7" s="411"/>
      <c r="DZ7" s="411"/>
      <c r="EA7" s="411"/>
      <c r="EB7" s="411"/>
      <c r="EC7" s="411"/>
      <c r="ED7" s="411"/>
      <c r="EE7" s="411"/>
      <c r="EF7" s="411"/>
      <c r="EG7" s="411"/>
    </row>
    <row r="8" spans="1:137" s="352" customFormat="1" ht="12" customHeight="1" thickTop="1">
      <c r="A8" s="276"/>
      <c r="B8" s="129" t="str">
        <f>UPPER(LEFT(TRIM(Data!B5),1)) &amp; MID(TRIM(Data!B5),2,50)</f>
        <v>Piktybiniai navikai</v>
      </c>
      <c r="C8" s="129" t="str">
        <f>Data!C5</f>
        <v>C00-C96</v>
      </c>
      <c r="D8" s="130">
        <f>Data!D5+Data!BQ5</f>
        <v>17708</v>
      </c>
      <c r="E8" s="131">
        <f t="shared" ref="E8:E9" si="1">D8/$R$6*100000</f>
        <v>609.5885931061548</v>
      </c>
      <c r="F8" s="132">
        <f>R8/$R$3</f>
        <v>434.31626495988684</v>
      </c>
      <c r="G8" s="133">
        <f t="shared" ref="G8:G9" si="2">AL8/$AL$3</f>
        <v>309.5842290517985</v>
      </c>
      <c r="H8" s="281"/>
      <c r="I8" s="281"/>
      <c r="J8" s="281"/>
      <c r="K8" s="281"/>
      <c r="L8" s="281"/>
      <c r="M8" s="281"/>
      <c r="N8" s="281"/>
      <c r="O8" s="280"/>
      <c r="P8" s="364"/>
      <c r="Q8" s="424" t="s">
        <v>353</v>
      </c>
      <c r="R8" s="416">
        <f t="shared" ref="R8:R46" si="3">SUM(S8:AJ8)</f>
        <v>43431626.495988682</v>
      </c>
      <c r="S8" s="416">
        <f>(Data!Q5+Data!CD5)/S$6*100000*S$3</f>
        <v>180151.53923594553</v>
      </c>
      <c r="T8" s="416">
        <f>(Data!R5+Data!CE5)/T$6*100000*T$3</f>
        <v>115510.72240836269</v>
      </c>
      <c r="U8" s="416">
        <f>(Data!S5+Data!CF5)/U$6*100000*U$3</f>
        <v>88647.199046483918</v>
      </c>
      <c r="V8" s="416">
        <f>(Data!T5+Data!CG5)/V$6*100000*V$3</f>
        <v>113670.53587538342</v>
      </c>
      <c r="W8" s="416">
        <f>(Data!U5+Data!CH5)/W$6*100000*W$3</f>
        <v>180631.71476068778</v>
      </c>
      <c r="X8" s="416">
        <f>(Data!V5+Data!CI5)/X$6*100000*X$3</f>
        <v>332796.56468062266</v>
      </c>
      <c r="Y8" s="416">
        <f>(Data!W5+Data!CJ5)/Y$6*100000*Y$3</f>
        <v>562009.08422275994</v>
      </c>
      <c r="Z8" s="416">
        <f>(Data!X5+Data!CK5)/Z$6*100000*Z$3</f>
        <v>940732.17201959726</v>
      </c>
      <c r="AA8" s="416">
        <f>(Data!Y5+Data!CL5)/AA$6*100000*AA$3</f>
        <v>1511642.020512613</v>
      </c>
      <c r="AB8" s="416">
        <f>(Data!Z5+Data!CM5)/AB$6*100000*AB$3</f>
        <v>2226445.9628524687</v>
      </c>
      <c r="AC8" s="416">
        <f>(Data!AA5+Data!CN5)/AC$6*100000*AC$3</f>
        <v>4351841.9837294398</v>
      </c>
      <c r="AD8" s="416">
        <f>(Data!AB5+Data!CO5)/AD$6*100000*AD$3</f>
        <v>5765361.8709523119</v>
      </c>
      <c r="AE8" s="416">
        <f>(Data!AC5+Data!CP5)/AE$6*100000*AE$3</f>
        <v>6616306.9403829137</v>
      </c>
      <c r="AF8" s="416">
        <f>(Data!AD5+Data!CQ5)/AF$6*100000*AF$3</f>
        <v>6991649.3986603236</v>
      </c>
      <c r="AG8" s="416">
        <f>(Data!AE5+Data!CR5)/AG$6*100000*AG$3</f>
        <v>5809276.900502543</v>
      </c>
      <c r="AH8" s="416">
        <f>(Data!AF5+Data!CS5)/AH$6*100000*AH$3</f>
        <v>3708343.3577514333</v>
      </c>
      <c r="AI8" s="416">
        <f>(Data!AG5+Data!CT5)/AI$6*100000*AI$3</f>
        <v>1986454.4058092444</v>
      </c>
      <c r="AJ8" s="416">
        <f>(Data!AH5+Data!CU5)/AJ$6*100000*AJ$3</f>
        <v>1950154.122585542</v>
      </c>
      <c r="AK8" s="424" t="s">
        <v>353</v>
      </c>
      <c r="AL8" s="416">
        <f t="shared" ref="AL8:AL55" si="4">SUM(AM8:BD8)</f>
        <v>30958422.905179851</v>
      </c>
      <c r="AM8" s="416">
        <f>(Data!Q5+Data!CD5)/AM$6*100000*AM$3</f>
        <v>270227.30885391828</v>
      </c>
      <c r="AN8" s="416">
        <f>(Data!R5+Data!CE5)/AN$6*100000*AN$3</f>
        <v>165015.31772623243</v>
      </c>
      <c r="AO8" s="416">
        <f>(Data!S5+Data!CF5)/AO$6*100000*AO$3</f>
        <v>113974.97020262218</v>
      </c>
      <c r="AP8" s="416">
        <f>(Data!T5+Data!CG5)/AP$6*100000*AP$3</f>
        <v>146147.83183977866</v>
      </c>
      <c r="AQ8" s="416">
        <f>(Data!U5+Data!CH5)/AQ$6*100000*AQ$3</f>
        <v>206436.24544078606</v>
      </c>
      <c r="AR8" s="416">
        <f>(Data!V5+Data!CI5)/AR$6*100000*AR$3</f>
        <v>380338.93106356874</v>
      </c>
      <c r="AS8" s="416">
        <f>(Data!W5+Data!CJ5)/AS$6*100000*AS$3</f>
        <v>481722.07219093712</v>
      </c>
      <c r="AT8" s="416">
        <f>(Data!X5+Data!CK5)/AT$6*100000*AT$3</f>
        <v>806341.86173108337</v>
      </c>
      <c r="AU8" s="416">
        <f>(Data!Y5+Data!CL5)/AU$6*100000*AU$3</f>
        <v>1295693.1604393825</v>
      </c>
      <c r="AV8" s="416">
        <f>(Data!Z5+Data!CM5)/AV$6*100000*AV$3</f>
        <v>1908382.2538735445</v>
      </c>
      <c r="AW8" s="416">
        <f>(Data!AA5+Data!CN5)/AW$6*100000*AW$3</f>
        <v>3108458.5598067427</v>
      </c>
      <c r="AX8" s="416">
        <f>(Data!AB5+Data!CO5)/AX$6*100000*AX$3</f>
        <v>3843574.5806348748</v>
      </c>
      <c r="AY8" s="416">
        <f>(Data!AC5+Data!CP5)/AY$6*100000*AY$3</f>
        <v>5293045.5523063308</v>
      </c>
      <c r="AZ8" s="416">
        <f>(Data!AD5+Data!CQ5)/AZ$6*100000*AZ$3</f>
        <v>5243737.0489952425</v>
      </c>
      <c r="BA8" s="416">
        <f>(Data!AE5+Data!CR5)/BA$6*100000*BA$3</f>
        <v>3872851.2670016955</v>
      </c>
      <c r="BB8" s="416">
        <f>(Data!AF5+Data!CS5)/BB$6*100000*BB$3</f>
        <v>1854171.6788757166</v>
      </c>
      <c r="BC8" s="416">
        <f>(Data!AG5+Data!CT5)/BC$6*100000*BC$3</f>
        <v>993227.20290462219</v>
      </c>
      <c r="BD8" s="416">
        <f>(Data!AH5+Data!CU5)/BD$6*100000*BD$3</f>
        <v>975077.06129277102</v>
      </c>
      <c r="BE8" s="411"/>
      <c r="BF8" s="411"/>
      <c r="BG8" s="411"/>
      <c r="BH8" s="411"/>
      <c r="BI8" s="411"/>
      <c r="BJ8" s="411"/>
      <c r="BK8" s="411"/>
      <c r="BL8" s="411"/>
      <c r="BM8" s="411"/>
      <c r="BN8" s="411"/>
      <c r="BO8" s="411"/>
      <c r="BP8" s="411"/>
      <c r="BQ8" s="411"/>
      <c r="BR8" s="411"/>
      <c r="BS8" s="411"/>
      <c r="BT8" s="411"/>
      <c r="BU8" s="411"/>
      <c r="BV8" s="411"/>
      <c r="BW8" s="411"/>
      <c r="BX8" s="411"/>
      <c r="BY8" s="411"/>
      <c r="BZ8" s="411"/>
      <c r="CA8" s="411"/>
      <c r="CB8" s="411"/>
      <c r="CC8" s="411"/>
      <c r="CD8" s="411"/>
      <c r="CE8" s="411"/>
      <c r="CF8" s="411"/>
      <c r="CG8" s="411"/>
      <c r="CH8" s="411"/>
      <c r="CI8" s="411"/>
      <c r="CJ8" s="411"/>
      <c r="CK8" s="411"/>
      <c r="CL8" s="411"/>
      <c r="CM8" s="411"/>
      <c r="CN8" s="411"/>
      <c r="CO8" s="411"/>
      <c r="CP8" s="411"/>
      <c r="CQ8" s="411"/>
      <c r="CR8" s="411"/>
      <c r="CS8" s="411"/>
      <c r="CT8" s="411"/>
      <c r="CU8" s="411"/>
      <c r="CV8" s="411"/>
      <c r="CW8" s="411"/>
      <c r="CX8" s="411"/>
      <c r="CY8" s="411"/>
      <c r="CZ8" s="411"/>
      <c r="DA8" s="411"/>
      <c r="DB8" s="411"/>
      <c r="DC8" s="411"/>
      <c r="DD8" s="411"/>
      <c r="DE8" s="411"/>
      <c r="DF8" s="411"/>
      <c r="DG8" s="411"/>
      <c r="DH8" s="411"/>
      <c r="DI8" s="411"/>
      <c r="DJ8" s="411"/>
      <c r="DK8" s="411"/>
      <c r="DL8" s="411"/>
      <c r="DM8" s="411"/>
      <c r="DN8" s="411"/>
      <c r="DO8" s="411"/>
      <c r="DP8" s="411"/>
      <c r="DQ8" s="411"/>
      <c r="DR8" s="411"/>
      <c r="DS8" s="411"/>
      <c r="DT8" s="411"/>
      <c r="DU8" s="411"/>
      <c r="DV8" s="411"/>
      <c r="DW8" s="411"/>
      <c r="DX8" s="411"/>
      <c r="DY8" s="411"/>
      <c r="DZ8" s="411"/>
      <c r="EA8" s="411"/>
      <c r="EB8" s="411"/>
      <c r="EC8" s="411"/>
      <c r="ED8" s="411"/>
      <c r="EE8" s="411"/>
      <c r="EF8" s="411"/>
      <c r="EG8" s="411"/>
    </row>
    <row r="9" spans="1:137" s="352" customFormat="1" ht="12" customHeight="1">
      <c r="A9" s="276"/>
      <c r="B9" s="283" t="str">
        <f>UPPER(LEFT(TRIM(Data!B6),1)) &amp; MID(TRIM(Data!B6),2,50)</f>
        <v>Lūpos</v>
      </c>
      <c r="C9" s="283" t="str">
        <f>Data!C6</f>
        <v>C00</v>
      </c>
      <c r="D9" s="284">
        <f>Data!D6+Data!BQ6</f>
        <v>19</v>
      </c>
      <c r="E9" s="285">
        <f t="shared" si="1"/>
        <v>0.65406501406239781</v>
      </c>
      <c r="F9" s="286">
        <f>R9/$R$3</f>
        <v>0.33557038264982225</v>
      </c>
      <c r="G9" s="286">
        <f t="shared" si="2"/>
        <v>0.19675924226470071</v>
      </c>
      <c r="H9" s="281"/>
      <c r="I9" s="281"/>
      <c r="J9" s="281"/>
      <c r="K9" s="281"/>
      <c r="L9" s="281"/>
      <c r="M9" s="281"/>
      <c r="N9" s="281"/>
      <c r="O9" s="280"/>
      <c r="P9" s="365"/>
      <c r="Q9" s="424" t="s">
        <v>353</v>
      </c>
      <c r="R9" s="416">
        <f t="shared" si="3"/>
        <v>33557.038264982228</v>
      </c>
      <c r="S9" s="416">
        <f>(Data!Q6+Data!CD6)/S$6*100000*S$3</f>
        <v>0</v>
      </c>
      <c r="T9" s="416">
        <f>(Data!R6+Data!CE6)/T$6*100000*T$3</f>
        <v>0</v>
      </c>
      <c r="U9" s="416">
        <f>(Data!S6+Data!CF6)/U$6*100000*U$3</f>
        <v>0</v>
      </c>
      <c r="V9" s="416">
        <f>(Data!T6+Data!CG6)/V$6*100000*V$3</f>
        <v>0</v>
      </c>
      <c r="W9" s="416">
        <f>(Data!U6+Data!CH6)/W$6*100000*W$3</f>
        <v>0</v>
      </c>
      <c r="X9" s="416">
        <f>(Data!V6+Data!CI6)/X$6*100000*X$3</f>
        <v>0</v>
      </c>
      <c r="Y9" s="416">
        <f>(Data!W6+Data!CJ6)/Y$6*100000*Y$3</f>
        <v>0</v>
      </c>
      <c r="Z9" s="416">
        <f>(Data!X6+Data!CK6)/Z$6*100000*Z$3</f>
        <v>0</v>
      </c>
      <c r="AA9" s="416">
        <f>(Data!Y6+Data!CL6)/AA$6*100000*AA$3</f>
        <v>0</v>
      </c>
      <c r="AB9" s="416">
        <f>(Data!Z6+Data!CM6)/AB$6*100000*AB$3</f>
        <v>0</v>
      </c>
      <c r="AC9" s="416">
        <f>(Data!AA6+Data!CN6)/AC$6*100000*AC$3</f>
        <v>0</v>
      </c>
      <c r="AD9" s="416">
        <f>(Data!AB6+Data!CO6)/AD$6*100000*AD$3</f>
        <v>0</v>
      </c>
      <c r="AE9" s="416">
        <f>(Data!AC6+Data!CP6)/AE$6*100000*AE$3</f>
        <v>0</v>
      </c>
      <c r="AF9" s="416">
        <f>(Data!AD6+Data!CQ6)/AF$6*100000*AF$3</f>
        <v>5507.4040162743795</v>
      </c>
      <c r="AG9" s="416">
        <f>(Data!AE6+Data!CR6)/AG$6*100000*AG$3</f>
        <v>9123.3245394621808</v>
      </c>
      <c r="AH9" s="416">
        <f>(Data!AF6+Data!CS6)/AH$6*100000*AH$3</f>
        <v>4977.642090941521</v>
      </c>
      <c r="AI9" s="416">
        <f>(Data!AG6+Data!CT6)/AI$6*100000*AI$3</f>
        <v>4654.8433645207842</v>
      </c>
      <c r="AJ9" s="416">
        <f>(Data!AH6+Data!CU6)/AJ$6*100000*AJ$3</f>
        <v>9293.8242537833612</v>
      </c>
      <c r="AK9" s="424" t="s">
        <v>353</v>
      </c>
      <c r="AL9" s="416">
        <f t="shared" si="4"/>
        <v>19675.92422647007</v>
      </c>
      <c r="AM9" s="416">
        <f>(Data!Q6+Data!CD6)/AM$6*100000*AM$3</f>
        <v>0</v>
      </c>
      <c r="AN9" s="416">
        <f>(Data!R6+Data!CE6)/AN$6*100000*AN$3</f>
        <v>0</v>
      </c>
      <c r="AO9" s="416">
        <f>(Data!S6+Data!CF6)/AO$6*100000*AO$3</f>
        <v>0</v>
      </c>
      <c r="AP9" s="416">
        <f>(Data!T6+Data!CG6)/AP$6*100000*AP$3</f>
        <v>0</v>
      </c>
      <c r="AQ9" s="416">
        <f>(Data!U6+Data!CH6)/AQ$6*100000*AQ$3</f>
        <v>0</v>
      </c>
      <c r="AR9" s="416">
        <f>(Data!V6+Data!CI6)/AR$6*100000*AR$3</f>
        <v>0</v>
      </c>
      <c r="AS9" s="416">
        <f>(Data!W6+Data!CJ6)/AS$6*100000*AS$3</f>
        <v>0</v>
      </c>
      <c r="AT9" s="416">
        <f>(Data!X6+Data!CK6)/AT$6*100000*AT$3</f>
        <v>0</v>
      </c>
      <c r="AU9" s="416">
        <f>(Data!Y6+Data!CL6)/AU$6*100000*AU$3</f>
        <v>0</v>
      </c>
      <c r="AV9" s="416">
        <f>(Data!Z6+Data!CM6)/AV$6*100000*AV$3</f>
        <v>0</v>
      </c>
      <c r="AW9" s="416">
        <f>(Data!AA6+Data!CN6)/AW$6*100000*AW$3</f>
        <v>0</v>
      </c>
      <c r="AX9" s="416">
        <f>(Data!AB6+Data!CO6)/AX$6*100000*AX$3</f>
        <v>0</v>
      </c>
      <c r="AY9" s="416">
        <f>(Data!AC6+Data!CP6)/AY$6*100000*AY$3</f>
        <v>0</v>
      </c>
      <c r="AZ9" s="416">
        <f>(Data!AD6+Data!CQ6)/AZ$6*100000*AZ$3</f>
        <v>4130.5530122057844</v>
      </c>
      <c r="BA9" s="416">
        <f>(Data!AE6+Data!CR6)/BA$6*100000*BA$3</f>
        <v>6082.216359641453</v>
      </c>
      <c r="BB9" s="416">
        <f>(Data!AF6+Data!CS6)/BB$6*100000*BB$3</f>
        <v>2488.8210454707605</v>
      </c>
      <c r="BC9" s="416">
        <f>(Data!AG6+Data!CT6)/BC$6*100000*BC$3</f>
        <v>2327.4216822603921</v>
      </c>
      <c r="BD9" s="416">
        <f>(Data!AH6+Data!CU6)/BD$6*100000*BD$3</f>
        <v>4646.9121268916806</v>
      </c>
      <c r="BE9" s="411"/>
      <c r="BF9" s="411"/>
      <c r="BG9" s="411"/>
      <c r="BH9" s="411"/>
      <c r="BI9" s="411"/>
      <c r="BJ9" s="411"/>
      <c r="BK9" s="411"/>
      <c r="BL9" s="411"/>
      <c r="BM9" s="411"/>
      <c r="BN9" s="411"/>
      <c r="BO9" s="411"/>
      <c r="BP9" s="411"/>
      <c r="BQ9" s="411"/>
      <c r="BR9" s="411"/>
      <c r="BS9" s="411"/>
      <c r="BT9" s="411"/>
      <c r="BU9" s="411"/>
      <c r="BV9" s="411"/>
      <c r="BW9" s="411"/>
      <c r="BX9" s="411"/>
      <c r="BY9" s="411"/>
      <c r="BZ9" s="411"/>
      <c r="CA9" s="411"/>
      <c r="CB9" s="411"/>
      <c r="CC9" s="411"/>
      <c r="CD9" s="411"/>
      <c r="CE9" s="411"/>
      <c r="CF9" s="411"/>
      <c r="CG9" s="411"/>
      <c r="CH9" s="411"/>
      <c r="CI9" s="411"/>
      <c r="CJ9" s="411"/>
      <c r="CK9" s="411"/>
      <c r="CL9" s="411"/>
      <c r="CM9" s="411"/>
      <c r="CN9" s="411"/>
      <c r="CO9" s="411"/>
      <c r="CP9" s="411"/>
      <c r="CQ9" s="411"/>
      <c r="CR9" s="411"/>
      <c r="CS9" s="411"/>
      <c r="CT9" s="411"/>
      <c r="CU9" s="411"/>
      <c r="CV9" s="411"/>
      <c r="CW9" s="411"/>
      <c r="CX9" s="411"/>
      <c r="CY9" s="411"/>
      <c r="CZ9" s="411"/>
      <c r="DA9" s="411"/>
      <c r="DB9" s="411"/>
      <c r="DC9" s="411"/>
      <c r="DD9" s="411"/>
      <c r="DE9" s="411"/>
      <c r="DF9" s="411"/>
      <c r="DG9" s="411"/>
      <c r="DH9" s="411"/>
      <c r="DI9" s="411"/>
      <c r="DJ9" s="411"/>
      <c r="DK9" s="411"/>
      <c r="DL9" s="411"/>
      <c r="DM9" s="411"/>
      <c r="DN9" s="411"/>
      <c r="DO9" s="411"/>
      <c r="DP9" s="411"/>
      <c r="DQ9" s="411"/>
      <c r="DR9" s="411"/>
      <c r="DS9" s="411"/>
      <c r="DT9" s="411"/>
      <c r="DU9" s="411"/>
      <c r="DV9" s="411"/>
      <c r="DW9" s="411"/>
      <c r="DX9" s="411"/>
      <c r="DY9" s="411"/>
      <c r="DZ9" s="411"/>
      <c r="EA9" s="411"/>
      <c r="EB9" s="411"/>
      <c r="EC9" s="411"/>
      <c r="ED9" s="411"/>
      <c r="EE9" s="411"/>
      <c r="EF9" s="411"/>
      <c r="EG9" s="411"/>
    </row>
    <row r="10" spans="1:137" s="352" customFormat="1" ht="12" customHeight="1">
      <c r="A10" s="276"/>
      <c r="B10" s="129" t="str">
        <f>UPPER(LEFT(TRIM(Data!B7),1)) &amp; MID(TRIM(Data!B7),2,50)</f>
        <v>Burnos ertmės ir ryklės</v>
      </c>
      <c r="C10" s="129" t="str">
        <f>Data!C7</f>
        <v>C01-C14</v>
      </c>
      <c r="D10" s="130">
        <f>Data!D7+Data!BQ7</f>
        <v>373</v>
      </c>
      <c r="E10" s="131">
        <f t="shared" ref="E10:E55" si="5">D10/$R$6*100000</f>
        <v>12.840328960277601</v>
      </c>
      <c r="F10" s="132">
        <f t="shared" ref="F10:F55" si="6">R10/$R$3</f>
        <v>10.396464600256797</v>
      </c>
      <c r="G10" s="133">
        <f t="shared" ref="G10:G55" si="7">AL10/$AL$3</f>
        <v>7.6902008755003397</v>
      </c>
      <c r="H10" s="281"/>
      <c r="I10" s="281"/>
      <c r="J10" s="281"/>
      <c r="K10" s="281"/>
      <c r="L10" s="281"/>
      <c r="M10" s="281"/>
      <c r="N10" s="281"/>
      <c r="O10" s="280"/>
      <c r="P10" s="360"/>
      <c r="Q10" s="424" t="s">
        <v>353</v>
      </c>
      <c r="R10" s="416">
        <f t="shared" si="3"/>
        <v>1039646.4600256797</v>
      </c>
      <c r="S10" s="416">
        <f>(Data!Q7+Data!CD7)/S$6*100000*S$3</f>
        <v>0</v>
      </c>
      <c r="T10" s="416">
        <f>(Data!R7+Data!CE7)/T$6*100000*T$3</f>
        <v>0</v>
      </c>
      <c r="U10" s="416">
        <f>(Data!S7+Data!CF7)/U$6*100000*U$3</f>
        <v>0</v>
      </c>
      <c r="V10" s="416">
        <f>(Data!T7+Data!CG7)/V$6*100000*V$3</f>
        <v>0</v>
      </c>
      <c r="W10" s="416">
        <f>(Data!U7+Data!CH7)/W$6*100000*W$3</f>
        <v>3473.6868223209194</v>
      </c>
      <c r="X10" s="416">
        <f>(Data!V7+Data!CI7)/X$6*100000*X$3</f>
        <v>7156.915369475757</v>
      </c>
      <c r="Y10" s="416">
        <f>(Data!W7+Data!CJ7)/Y$6*100000*Y$3</f>
        <v>7860.2669122064335</v>
      </c>
      <c r="Z10" s="416">
        <f>(Data!X7+Data!CK7)/Z$6*100000*Z$3</f>
        <v>11908.002177463255</v>
      </c>
      <c r="AA10" s="416">
        <f>(Data!Y7+Data!CL7)/AA$6*100000*AA$3</f>
        <v>56642.323953634201</v>
      </c>
      <c r="AB10" s="416">
        <f>(Data!Z7+Data!CM7)/AB$6*100000*AB$3</f>
        <v>104417.28418823982</v>
      </c>
      <c r="AC10" s="416">
        <f>(Data!AA7+Data!CN7)/AC$6*100000*AC$3</f>
        <v>142989.09375111017</v>
      </c>
      <c r="AD10" s="416">
        <f>(Data!AB7+Data!CO7)/AD$6*100000*AD$3</f>
        <v>219472.04779613487</v>
      </c>
      <c r="AE10" s="416">
        <f>(Data!AC7+Data!CP7)/AE$6*100000*AE$3</f>
        <v>193390.72544963344</v>
      </c>
      <c r="AF10" s="416">
        <f>(Data!AD7+Data!CQ7)/AF$6*100000*AF$3</f>
        <v>156961.0144638198</v>
      </c>
      <c r="AG10" s="416">
        <f>(Data!AE7+Data!CR7)/AG$6*100000*AG$3</f>
        <v>79829.089720294083</v>
      </c>
      <c r="AH10" s="416">
        <f>(Data!AF7+Data!CS7)/AH$6*100000*AH$3</f>
        <v>31525.066575962966</v>
      </c>
      <c r="AI10" s="416">
        <f>(Data!AG7+Data!CT7)/AI$6*100000*AI$3</f>
        <v>6982.2650467811764</v>
      </c>
      <c r="AJ10" s="416">
        <f>(Data!AH7+Data!CU7)/AJ$6*100000*AJ$3</f>
        <v>17038.677798602828</v>
      </c>
      <c r="AK10" s="424" t="s">
        <v>353</v>
      </c>
      <c r="AL10" s="416">
        <f t="shared" si="4"/>
        <v>769020.08755003393</v>
      </c>
      <c r="AM10" s="416">
        <f>(Data!Q7+Data!CD7)/AM$6*100000*AM$3</f>
        <v>0</v>
      </c>
      <c r="AN10" s="416">
        <f>(Data!R7+Data!CE7)/AN$6*100000*AN$3</f>
        <v>0</v>
      </c>
      <c r="AO10" s="416">
        <f>(Data!S7+Data!CF7)/AO$6*100000*AO$3</f>
        <v>0</v>
      </c>
      <c r="AP10" s="416">
        <f>(Data!T7+Data!CG7)/AP$6*100000*AP$3</f>
        <v>0</v>
      </c>
      <c r="AQ10" s="416">
        <f>(Data!U7+Data!CH7)/AQ$6*100000*AQ$3</f>
        <v>3969.9277969381933</v>
      </c>
      <c r="AR10" s="416">
        <f>(Data!V7+Data!CI7)/AR$6*100000*AR$3</f>
        <v>8179.3318508294369</v>
      </c>
      <c r="AS10" s="416">
        <f>(Data!W7+Data!CJ7)/AS$6*100000*AS$3</f>
        <v>6737.371639034086</v>
      </c>
      <c r="AT10" s="416">
        <f>(Data!X7+Data!CK7)/AT$6*100000*AT$3</f>
        <v>10206.85900925422</v>
      </c>
      <c r="AU10" s="416">
        <f>(Data!Y7+Data!CL7)/AU$6*100000*AU$3</f>
        <v>48550.563388829316</v>
      </c>
      <c r="AV10" s="416">
        <f>(Data!Z7+Data!CM7)/AV$6*100000*AV$3</f>
        <v>89500.529304205556</v>
      </c>
      <c r="AW10" s="416">
        <f>(Data!AA7+Data!CN7)/AW$6*100000*AW$3</f>
        <v>102135.06696507869</v>
      </c>
      <c r="AX10" s="416">
        <f>(Data!AB7+Data!CO7)/AX$6*100000*AX$3</f>
        <v>146314.69853075658</v>
      </c>
      <c r="AY10" s="416">
        <f>(Data!AC7+Data!CP7)/AY$6*100000*AY$3</f>
        <v>154712.58035970674</v>
      </c>
      <c r="AZ10" s="416">
        <f>(Data!AD7+Data!CQ7)/AZ$6*100000*AZ$3</f>
        <v>117720.76084786485</v>
      </c>
      <c r="BA10" s="416">
        <f>(Data!AE7+Data!CR7)/BA$6*100000*BA$3</f>
        <v>53219.39314686272</v>
      </c>
      <c r="BB10" s="416">
        <f>(Data!AF7+Data!CS7)/BB$6*100000*BB$3</f>
        <v>15762.533287981483</v>
      </c>
      <c r="BC10" s="416">
        <f>(Data!AG7+Data!CT7)/BC$6*100000*BC$3</f>
        <v>3491.1325233905882</v>
      </c>
      <c r="BD10" s="416">
        <f>(Data!AH7+Data!CU7)/BD$6*100000*BD$3</f>
        <v>8519.3388993014141</v>
      </c>
      <c r="BE10" s="411"/>
      <c r="BF10" s="411"/>
      <c r="BG10" s="411"/>
      <c r="BH10" s="411"/>
      <c r="BI10" s="411"/>
      <c r="BJ10" s="411"/>
      <c r="BK10" s="411"/>
      <c r="BL10" s="411"/>
      <c r="BM10" s="411"/>
      <c r="BN10" s="411"/>
      <c r="BO10" s="411"/>
      <c r="BP10" s="411"/>
      <c r="BQ10" s="411"/>
      <c r="BR10" s="411"/>
      <c r="BS10" s="411"/>
      <c r="BT10" s="411"/>
      <c r="BU10" s="411"/>
      <c r="BV10" s="411"/>
      <c r="BW10" s="411"/>
      <c r="BX10" s="411"/>
      <c r="BY10" s="411"/>
      <c r="BZ10" s="411"/>
      <c r="CA10" s="411"/>
      <c r="CB10" s="411"/>
      <c r="CC10" s="411"/>
      <c r="CD10" s="411"/>
      <c r="CE10" s="411"/>
      <c r="CF10" s="411"/>
      <c r="CG10" s="411"/>
      <c r="CH10" s="411"/>
      <c r="CI10" s="411"/>
      <c r="CJ10" s="411"/>
      <c r="CK10" s="411"/>
      <c r="CL10" s="411"/>
      <c r="CM10" s="411"/>
      <c r="CN10" s="411"/>
      <c r="CO10" s="411"/>
      <c r="CP10" s="411"/>
      <c r="CQ10" s="411"/>
      <c r="CR10" s="411"/>
      <c r="CS10" s="411"/>
      <c r="CT10" s="411"/>
      <c r="CU10" s="411"/>
      <c r="CV10" s="411"/>
      <c r="CW10" s="411"/>
      <c r="CX10" s="411"/>
      <c r="CY10" s="411"/>
      <c r="CZ10" s="411"/>
      <c r="DA10" s="411"/>
      <c r="DB10" s="411"/>
      <c r="DC10" s="411"/>
      <c r="DD10" s="411"/>
      <c r="DE10" s="411"/>
      <c r="DF10" s="411"/>
      <c r="DG10" s="411"/>
      <c r="DH10" s="411"/>
      <c r="DI10" s="411"/>
      <c r="DJ10" s="411"/>
      <c r="DK10" s="411"/>
      <c r="DL10" s="411"/>
      <c r="DM10" s="411"/>
      <c r="DN10" s="411"/>
      <c r="DO10" s="411"/>
      <c r="DP10" s="411"/>
      <c r="DQ10" s="411"/>
      <c r="DR10" s="411"/>
      <c r="DS10" s="411"/>
      <c r="DT10" s="411"/>
      <c r="DU10" s="411"/>
      <c r="DV10" s="411"/>
      <c r="DW10" s="411"/>
      <c r="DX10" s="411"/>
      <c r="DY10" s="411"/>
      <c r="DZ10" s="411"/>
      <c r="EA10" s="411"/>
      <c r="EB10" s="411"/>
      <c r="EC10" s="411"/>
      <c r="ED10" s="411"/>
      <c r="EE10" s="411"/>
      <c r="EF10" s="411"/>
      <c r="EG10" s="411"/>
    </row>
    <row r="11" spans="1:137" s="352" customFormat="1" ht="12" customHeight="1">
      <c r="A11" s="276"/>
      <c r="B11" s="283" t="str">
        <f>UPPER(LEFT(TRIM(Data!B8),1)) &amp; MID(TRIM(Data!B8),2,50)</f>
        <v>Stemplės</v>
      </c>
      <c r="C11" s="283" t="str">
        <f>Data!C8</f>
        <v>C15</v>
      </c>
      <c r="D11" s="284">
        <f>Data!D8+Data!BQ8</f>
        <v>217</v>
      </c>
      <c r="E11" s="285">
        <f t="shared" si="5"/>
        <v>7.4701109500810698</v>
      </c>
      <c r="F11" s="286">
        <f t="shared" si="6"/>
        <v>5.5268211064336121</v>
      </c>
      <c r="G11" s="286">
        <f t="shared" si="7"/>
        <v>3.9734460481548899</v>
      </c>
      <c r="H11" s="281"/>
      <c r="I11" s="281"/>
      <c r="J11" s="281"/>
      <c r="K11" s="281"/>
      <c r="L11" s="281"/>
      <c r="M11" s="281"/>
      <c r="N11" s="281"/>
      <c r="O11" s="280"/>
      <c r="P11" s="360"/>
      <c r="Q11" s="424" t="s">
        <v>353</v>
      </c>
      <c r="R11" s="416">
        <f t="shared" si="3"/>
        <v>552682.11064336123</v>
      </c>
      <c r="S11" s="416">
        <f>(Data!Q8+Data!CD8)/S$6*100000*S$3</f>
        <v>0</v>
      </c>
      <c r="T11" s="416">
        <f>(Data!R8+Data!CE8)/T$6*100000*T$3</f>
        <v>0</v>
      </c>
      <c r="U11" s="416">
        <f>(Data!S8+Data!CF8)/U$6*100000*U$3</f>
        <v>0</v>
      </c>
      <c r="V11" s="416">
        <f>(Data!T8+Data!CG8)/V$6*100000*V$3</f>
        <v>0</v>
      </c>
      <c r="W11" s="416">
        <f>(Data!U8+Data!CH8)/W$6*100000*W$3</f>
        <v>3473.6868223209194</v>
      </c>
      <c r="X11" s="416">
        <f>(Data!V8+Data!CI8)/X$6*100000*X$3</f>
        <v>0</v>
      </c>
      <c r="Y11" s="416">
        <f>(Data!W8+Data!CJ8)/Y$6*100000*Y$3</f>
        <v>0</v>
      </c>
      <c r="Z11" s="416">
        <f>(Data!X8+Data!CK8)/Z$6*100000*Z$3</f>
        <v>0</v>
      </c>
      <c r="AA11" s="416">
        <f>(Data!Y8+Data!CL8)/AA$6*100000*AA$3</f>
        <v>24781.016729714967</v>
      </c>
      <c r="AB11" s="416">
        <f>(Data!Z8+Data!CM8)/AB$6*100000*AB$3</f>
        <v>20209.796939659318</v>
      </c>
      <c r="AC11" s="416">
        <f>(Data!AA8+Data!CN8)/AC$6*100000*AC$3</f>
        <v>52843.795516714628</v>
      </c>
      <c r="AD11" s="416">
        <f>(Data!AB8+Data!CO8)/AD$6*100000*AD$3</f>
        <v>84412.326075436475</v>
      </c>
      <c r="AE11" s="416">
        <f>(Data!AC8+Data!CP8)/AE$6*100000*AE$3</f>
        <v>123066.82528613036</v>
      </c>
      <c r="AF11" s="416">
        <f>(Data!AD8+Data!CQ8)/AF$6*100000*AF$3</f>
        <v>112901.78233362477</v>
      </c>
      <c r="AG11" s="416">
        <f>(Data!AE8+Data!CR8)/AG$6*100000*AG$3</f>
        <v>72986.596315697447</v>
      </c>
      <c r="AH11" s="416">
        <f>(Data!AF8+Data!CS8)/AH$6*100000*AH$3</f>
        <v>21569.782394079921</v>
      </c>
      <c r="AI11" s="416">
        <f>(Data!AG8+Data!CT8)/AI$6*100000*AI$3</f>
        <v>20946.795140343529</v>
      </c>
      <c r="AJ11" s="416">
        <f>(Data!AH8+Data!CU8)/AJ$6*100000*AJ$3</f>
        <v>15489.707089638936</v>
      </c>
      <c r="AK11" s="424" t="s">
        <v>353</v>
      </c>
      <c r="AL11" s="416">
        <f t="shared" si="4"/>
        <v>397344.60481548897</v>
      </c>
      <c r="AM11" s="416">
        <f>(Data!Q8+Data!CD8)/AM$6*100000*AM$3</f>
        <v>0</v>
      </c>
      <c r="AN11" s="416">
        <f>(Data!R8+Data!CE8)/AN$6*100000*AN$3</f>
        <v>0</v>
      </c>
      <c r="AO11" s="416">
        <f>(Data!S8+Data!CF8)/AO$6*100000*AO$3</f>
        <v>0</v>
      </c>
      <c r="AP11" s="416">
        <f>(Data!T8+Data!CG8)/AP$6*100000*AP$3</f>
        <v>0</v>
      </c>
      <c r="AQ11" s="416">
        <f>(Data!U8+Data!CH8)/AQ$6*100000*AQ$3</f>
        <v>3969.9277969381933</v>
      </c>
      <c r="AR11" s="416">
        <f>(Data!V8+Data!CI8)/AR$6*100000*AR$3</f>
        <v>0</v>
      </c>
      <c r="AS11" s="416">
        <f>(Data!W8+Data!CJ8)/AS$6*100000*AS$3</f>
        <v>0</v>
      </c>
      <c r="AT11" s="416">
        <f>(Data!X8+Data!CK8)/AT$6*100000*AT$3</f>
        <v>0</v>
      </c>
      <c r="AU11" s="416">
        <f>(Data!Y8+Data!CL8)/AU$6*100000*AU$3</f>
        <v>21240.871482612831</v>
      </c>
      <c r="AV11" s="416">
        <f>(Data!Z8+Data!CM8)/AV$6*100000*AV$3</f>
        <v>17322.683091136558</v>
      </c>
      <c r="AW11" s="416">
        <f>(Data!AA8+Data!CN8)/AW$6*100000*AW$3</f>
        <v>37745.568226224736</v>
      </c>
      <c r="AX11" s="416">
        <f>(Data!AB8+Data!CO8)/AX$6*100000*AX$3</f>
        <v>56274.884050290988</v>
      </c>
      <c r="AY11" s="416">
        <f>(Data!AC8+Data!CP8)/AY$6*100000*AY$3</f>
        <v>98453.460228904296</v>
      </c>
      <c r="AZ11" s="416">
        <f>(Data!AD8+Data!CQ8)/AZ$6*100000*AZ$3</f>
        <v>84676.336750218572</v>
      </c>
      <c r="BA11" s="416">
        <f>(Data!AE8+Data!CR8)/BA$6*100000*BA$3</f>
        <v>48657.730877131624</v>
      </c>
      <c r="BB11" s="416">
        <f>(Data!AF8+Data!CS8)/BB$6*100000*BB$3</f>
        <v>10784.89119703996</v>
      </c>
      <c r="BC11" s="416">
        <f>(Data!AG8+Data!CT8)/BC$6*100000*BC$3</f>
        <v>10473.397570171765</v>
      </c>
      <c r="BD11" s="416">
        <f>(Data!AH8+Data!CU8)/BD$6*100000*BD$3</f>
        <v>7744.853544819468</v>
      </c>
      <c r="BE11" s="411"/>
      <c r="BF11" s="411"/>
      <c r="BG11" s="411"/>
      <c r="BH11" s="411"/>
      <c r="BI11" s="411"/>
      <c r="BJ11" s="411"/>
      <c r="BK11" s="411"/>
      <c r="BL11" s="411"/>
      <c r="BM11" s="411"/>
      <c r="BN11" s="411"/>
      <c r="BO11" s="411"/>
      <c r="BP11" s="411"/>
      <c r="BQ11" s="411"/>
      <c r="BR11" s="411"/>
      <c r="BS11" s="411"/>
      <c r="BT11" s="411"/>
      <c r="BU11" s="411"/>
      <c r="BV11" s="411"/>
      <c r="BW11" s="411"/>
      <c r="BX11" s="411"/>
      <c r="BY11" s="411"/>
      <c r="BZ11" s="411"/>
      <c r="CA11" s="411"/>
      <c r="CB11" s="411"/>
      <c r="CC11" s="411"/>
      <c r="CD11" s="411"/>
      <c r="CE11" s="411"/>
      <c r="CF11" s="411"/>
      <c r="CG11" s="411"/>
      <c r="CH11" s="411"/>
      <c r="CI11" s="411"/>
      <c r="CJ11" s="411"/>
      <c r="CK11" s="411"/>
      <c r="CL11" s="411"/>
      <c r="CM11" s="411"/>
      <c r="CN11" s="411"/>
      <c r="CO11" s="411"/>
      <c r="CP11" s="411"/>
      <c r="CQ11" s="411"/>
      <c r="CR11" s="411"/>
      <c r="CS11" s="411"/>
      <c r="CT11" s="411"/>
      <c r="CU11" s="411"/>
      <c r="CV11" s="411"/>
      <c r="CW11" s="411"/>
      <c r="CX11" s="411"/>
      <c r="CY11" s="411"/>
      <c r="CZ11" s="411"/>
      <c r="DA11" s="411"/>
      <c r="DB11" s="411"/>
      <c r="DC11" s="411"/>
      <c r="DD11" s="411"/>
      <c r="DE11" s="411"/>
      <c r="DF11" s="411"/>
      <c r="DG11" s="411"/>
      <c r="DH11" s="411"/>
      <c r="DI11" s="411"/>
      <c r="DJ11" s="411"/>
      <c r="DK11" s="411"/>
      <c r="DL11" s="411"/>
      <c r="DM11" s="411"/>
      <c r="DN11" s="411"/>
      <c r="DO11" s="411"/>
      <c r="DP11" s="411"/>
      <c r="DQ11" s="411"/>
      <c r="DR11" s="411"/>
      <c r="DS11" s="411"/>
      <c r="DT11" s="411"/>
      <c r="DU11" s="411"/>
      <c r="DV11" s="411"/>
      <c r="DW11" s="411"/>
      <c r="DX11" s="411"/>
      <c r="DY11" s="411"/>
      <c r="DZ11" s="411"/>
      <c r="EA11" s="411"/>
      <c r="EB11" s="411"/>
      <c r="EC11" s="411"/>
      <c r="ED11" s="411"/>
      <c r="EE11" s="411"/>
      <c r="EF11" s="411"/>
      <c r="EG11" s="411"/>
    </row>
    <row r="12" spans="1:137" s="352" customFormat="1" ht="12" customHeight="1">
      <c r="A12" s="276"/>
      <c r="B12" s="129" t="str">
        <f>UPPER(LEFT(TRIM(Data!B9),1)) &amp; MID(TRIM(Data!B9),2,50)</f>
        <v>Skrandžio</v>
      </c>
      <c r="C12" s="129" t="str">
        <f>Data!C9</f>
        <v>C16</v>
      </c>
      <c r="D12" s="130">
        <f>Data!D9+Data!BQ9</f>
        <v>806</v>
      </c>
      <c r="E12" s="131">
        <f t="shared" si="5"/>
        <v>27.746126386015401</v>
      </c>
      <c r="F12" s="132">
        <f t="shared" si="6"/>
        <v>18.244954401732535</v>
      </c>
      <c r="G12" s="133">
        <f t="shared" si="7"/>
        <v>12.388187218773945</v>
      </c>
      <c r="H12" s="281"/>
      <c r="I12" s="281"/>
      <c r="J12" s="281"/>
      <c r="K12" s="281"/>
      <c r="L12" s="281"/>
      <c r="M12" s="281"/>
      <c r="N12" s="281"/>
      <c r="O12" s="280"/>
      <c r="P12" s="360"/>
      <c r="Q12" s="424" t="s">
        <v>353</v>
      </c>
      <c r="R12" s="416">
        <f t="shared" si="3"/>
        <v>1824495.4401732534</v>
      </c>
      <c r="S12" s="416">
        <f>(Data!Q9+Data!CD9)/S$6*100000*S$3</f>
        <v>0</v>
      </c>
      <c r="T12" s="416">
        <f>(Data!R9+Data!CE9)/T$6*100000*T$3</f>
        <v>0</v>
      </c>
      <c r="U12" s="416">
        <f>(Data!S9+Data!CF9)/U$6*100000*U$3</f>
        <v>0</v>
      </c>
      <c r="V12" s="416">
        <f>(Data!T9+Data!CG9)/V$6*100000*V$3</f>
        <v>0</v>
      </c>
      <c r="W12" s="416">
        <f>(Data!U9+Data!CH9)/W$6*100000*W$3</f>
        <v>0</v>
      </c>
      <c r="X12" s="416">
        <f>(Data!V9+Data!CI9)/X$6*100000*X$3</f>
        <v>7156.915369475757</v>
      </c>
      <c r="Y12" s="416">
        <f>(Data!W9+Data!CJ9)/Y$6*100000*Y$3</f>
        <v>7860.2669122064335</v>
      </c>
      <c r="Z12" s="416">
        <f>(Data!X9+Data!CK9)/Z$6*100000*Z$3</f>
        <v>39693.340591544184</v>
      </c>
      <c r="AA12" s="416">
        <f>(Data!Y9+Data!CL9)/AA$6*100000*AA$3</f>
        <v>60182.469200736348</v>
      </c>
      <c r="AB12" s="416">
        <f>(Data!Z9+Data!CM9)/AB$6*100000*AB$3</f>
        <v>84207.487248580495</v>
      </c>
      <c r="AC12" s="416">
        <f>(Data!AA9+Data!CN9)/AC$6*100000*AC$3</f>
        <v>164748.30366975736</v>
      </c>
      <c r="AD12" s="416">
        <f>(Data!AB9+Data!CO9)/AD$6*100000*AD$3</f>
        <v>196962.09417601849</v>
      </c>
      <c r="AE12" s="416">
        <f>(Data!AC9+Data!CP9)/AE$6*100000*AE$3</f>
        <v>272505.11313357437</v>
      </c>
      <c r="AF12" s="416">
        <f>(Data!AD9+Data!CQ9)/AF$6*100000*AF$3</f>
        <v>242325.77671607269</v>
      </c>
      <c r="AG12" s="416">
        <f>(Data!AE9+Data!CR9)/AG$6*100000*AG$3</f>
        <v>257733.91823980658</v>
      </c>
      <c r="AH12" s="416">
        <f>(Data!AF9+Data!CS9)/AH$6*100000*AH$3</f>
        <v>237267.60633487915</v>
      </c>
      <c r="AI12" s="416">
        <f>(Data!AG9+Data!CT9)/AI$6*100000*AI$3</f>
        <v>122189.63831867058</v>
      </c>
      <c r="AJ12" s="416">
        <f>(Data!AH9+Data!CU9)/AJ$6*100000*AJ$3</f>
        <v>131662.51026193093</v>
      </c>
      <c r="AK12" s="424" t="s">
        <v>353</v>
      </c>
      <c r="AL12" s="416">
        <f t="shared" si="4"/>
        <v>1238818.7218773945</v>
      </c>
      <c r="AM12" s="416">
        <f>(Data!Q9+Data!CD9)/AM$6*100000*AM$3</f>
        <v>0</v>
      </c>
      <c r="AN12" s="416">
        <f>(Data!R9+Data!CE9)/AN$6*100000*AN$3</f>
        <v>0</v>
      </c>
      <c r="AO12" s="416">
        <f>(Data!S9+Data!CF9)/AO$6*100000*AO$3</f>
        <v>0</v>
      </c>
      <c r="AP12" s="416">
        <f>(Data!T9+Data!CG9)/AP$6*100000*AP$3</f>
        <v>0</v>
      </c>
      <c r="AQ12" s="416">
        <f>(Data!U9+Data!CH9)/AQ$6*100000*AQ$3</f>
        <v>0</v>
      </c>
      <c r="AR12" s="416">
        <f>(Data!V9+Data!CI9)/AR$6*100000*AR$3</f>
        <v>8179.3318508294369</v>
      </c>
      <c r="AS12" s="416">
        <f>(Data!W9+Data!CJ9)/AS$6*100000*AS$3</f>
        <v>6737.371639034086</v>
      </c>
      <c r="AT12" s="416">
        <f>(Data!X9+Data!CK9)/AT$6*100000*AT$3</f>
        <v>34022.863364180732</v>
      </c>
      <c r="AU12" s="416">
        <f>(Data!Y9+Data!CL9)/AU$6*100000*AU$3</f>
        <v>51584.973600631158</v>
      </c>
      <c r="AV12" s="416">
        <f>(Data!Z9+Data!CM9)/AV$6*100000*AV$3</f>
        <v>72177.846213069002</v>
      </c>
      <c r="AW12" s="416">
        <f>(Data!AA9+Data!CN9)/AW$6*100000*AW$3</f>
        <v>117677.35976411239</v>
      </c>
      <c r="AX12" s="416">
        <f>(Data!AB9+Data!CO9)/AX$6*100000*AX$3</f>
        <v>131308.06278401232</v>
      </c>
      <c r="AY12" s="416">
        <f>(Data!AC9+Data!CP9)/AY$6*100000*AY$3</f>
        <v>218004.0905068595</v>
      </c>
      <c r="AZ12" s="416">
        <f>(Data!AD9+Data!CQ9)/AZ$6*100000*AZ$3</f>
        <v>181744.33253705452</v>
      </c>
      <c r="BA12" s="416">
        <f>(Data!AE9+Data!CR9)/BA$6*100000*BA$3</f>
        <v>171822.61215987106</v>
      </c>
      <c r="BB12" s="416">
        <f>(Data!AF9+Data!CS9)/BB$6*100000*BB$3</f>
        <v>118633.80316743958</v>
      </c>
      <c r="BC12" s="416">
        <f>(Data!AG9+Data!CT9)/BC$6*100000*BC$3</f>
        <v>61094.819159335289</v>
      </c>
      <c r="BD12" s="416">
        <f>(Data!AH9+Data!CU9)/BD$6*100000*BD$3</f>
        <v>65831.255130965466</v>
      </c>
      <c r="BE12" s="411"/>
      <c r="BF12" s="411"/>
      <c r="BG12" s="411"/>
      <c r="BH12" s="411"/>
      <c r="BI12" s="411"/>
      <c r="BJ12" s="411"/>
      <c r="BK12" s="411"/>
      <c r="BL12" s="411"/>
      <c r="BM12" s="411"/>
      <c r="BN12" s="411"/>
      <c r="BO12" s="411"/>
      <c r="BP12" s="411"/>
      <c r="BQ12" s="411"/>
      <c r="BR12" s="411"/>
      <c r="BS12" s="411"/>
      <c r="BT12" s="411"/>
      <c r="BU12" s="411"/>
      <c r="BV12" s="411"/>
      <c r="BW12" s="411"/>
      <c r="BX12" s="411"/>
      <c r="BY12" s="411"/>
      <c r="BZ12" s="411"/>
      <c r="CA12" s="411"/>
      <c r="CB12" s="411"/>
      <c r="CC12" s="411"/>
      <c r="CD12" s="411"/>
      <c r="CE12" s="411"/>
      <c r="CF12" s="411"/>
      <c r="CG12" s="411"/>
      <c r="CH12" s="411"/>
      <c r="CI12" s="411"/>
      <c r="CJ12" s="411"/>
      <c r="CK12" s="411"/>
      <c r="CL12" s="411"/>
      <c r="CM12" s="411"/>
      <c r="CN12" s="411"/>
      <c r="CO12" s="411"/>
      <c r="CP12" s="411"/>
      <c r="CQ12" s="411"/>
      <c r="CR12" s="411"/>
      <c r="CS12" s="411"/>
      <c r="CT12" s="411"/>
      <c r="CU12" s="411"/>
      <c r="CV12" s="411"/>
      <c r="CW12" s="411"/>
      <c r="CX12" s="411"/>
      <c r="CY12" s="411"/>
      <c r="CZ12" s="411"/>
      <c r="DA12" s="411"/>
      <c r="DB12" s="411"/>
      <c r="DC12" s="411"/>
      <c r="DD12" s="411"/>
      <c r="DE12" s="411"/>
      <c r="DF12" s="411"/>
      <c r="DG12" s="411"/>
      <c r="DH12" s="411"/>
      <c r="DI12" s="411"/>
      <c r="DJ12" s="411"/>
      <c r="DK12" s="411"/>
      <c r="DL12" s="411"/>
      <c r="DM12" s="411"/>
      <c r="DN12" s="411"/>
      <c r="DO12" s="411"/>
      <c r="DP12" s="411"/>
      <c r="DQ12" s="411"/>
      <c r="DR12" s="411"/>
      <c r="DS12" s="411"/>
      <c r="DT12" s="411"/>
      <c r="DU12" s="411"/>
      <c r="DV12" s="411"/>
      <c r="DW12" s="411"/>
      <c r="DX12" s="411"/>
      <c r="DY12" s="411"/>
      <c r="DZ12" s="411"/>
      <c r="EA12" s="411"/>
      <c r="EB12" s="411"/>
      <c r="EC12" s="411"/>
      <c r="ED12" s="411"/>
      <c r="EE12" s="411"/>
      <c r="EF12" s="411"/>
      <c r="EG12" s="411"/>
    </row>
    <row r="13" spans="1:137" s="352" customFormat="1" ht="12" customHeight="1">
      <c r="A13" s="276"/>
      <c r="B13" s="283" t="str">
        <f>UPPER(LEFT(TRIM(Data!B10),1)) &amp; MID(TRIM(Data!B10),2,50)</f>
        <v>Gaubtinės žarnos</v>
      </c>
      <c r="C13" s="283" t="str">
        <f>Data!C10</f>
        <v>C18</v>
      </c>
      <c r="D13" s="284">
        <f>Data!D10+Data!BQ10</f>
        <v>875</v>
      </c>
      <c r="E13" s="285">
        <f t="shared" si="5"/>
        <v>30.121415121294635</v>
      </c>
      <c r="F13" s="286">
        <f t="shared" si="6"/>
        <v>19.447784024247643</v>
      </c>
      <c r="G13" s="286">
        <f t="shared" si="7"/>
        <v>13.11175138199394</v>
      </c>
      <c r="H13" s="281"/>
      <c r="I13" s="281"/>
      <c r="J13" s="281"/>
      <c r="K13" s="281"/>
      <c r="L13" s="281"/>
      <c r="M13" s="281"/>
      <c r="N13" s="281"/>
      <c r="O13" s="280"/>
      <c r="P13" s="360"/>
      <c r="Q13" s="424" t="s">
        <v>353</v>
      </c>
      <c r="R13" s="416">
        <f t="shared" si="3"/>
        <v>1944778.4024247644</v>
      </c>
      <c r="S13" s="416">
        <f>(Data!Q10+Data!CD10)/S$6*100000*S$3</f>
        <v>0</v>
      </c>
      <c r="T13" s="416">
        <f>(Data!R10+Data!CE10)/T$6*100000*T$3</f>
        <v>0</v>
      </c>
      <c r="U13" s="416">
        <f>(Data!S10+Data!CF10)/U$6*100000*U$3</f>
        <v>0</v>
      </c>
      <c r="V13" s="416">
        <f>(Data!T10+Data!CG10)/V$6*100000*V$3</f>
        <v>0</v>
      </c>
      <c r="W13" s="416">
        <f>(Data!U10+Data!CH10)/W$6*100000*W$3</f>
        <v>6947.3736446418388</v>
      </c>
      <c r="X13" s="416">
        <f>(Data!V10+Data!CI10)/X$6*100000*X$3</f>
        <v>3578.4576847378785</v>
      </c>
      <c r="Y13" s="416">
        <f>(Data!W10+Data!CJ10)/Y$6*100000*Y$3</f>
        <v>15720.533824412867</v>
      </c>
      <c r="Z13" s="416">
        <f>(Data!X10+Data!CK10)/Z$6*100000*Z$3</f>
        <v>31754.67247323535</v>
      </c>
      <c r="AA13" s="416">
        <f>(Data!Y10+Data!CL10)/AA$6*100000*AA$3</f>
        <v>24781.016729714967</v>
      </c>
      <c r="AB13" s="416">
        <f>(Data!Z10+Data!CM10)/AB$6*100000*AB$3</f>
        <v>47156.192859205083</v>
      </c>
      <c r="AC13" s="416">
        <f>(Data!AA10+Data!CN10)/AC$6*100000*AC$3</f>
        <v>121229.88383246298</v>
      </c>
      <c r="AD13" s="416">
        <f>(Data!AB10+Data!CO10)/AD$6*100000*AD$3</f>
        <v>208217.07098607664</v>
      </c>
      <c r="AE13" s="416">
        <f>(Data!AC10+Data!CP10)/AE$6*100000*AE$3</f>
        <v>257854.30059951122</v>
      </c>
      <c r="AF13" s="416">
        <f>(Data!AD10+Data!CQ10)/AF$6*100000*AF$3</f>
        <v>377257.17511479498</v>
      </c>
      <c r="AG13" s="416">
        <f>(Data!AE10+Data!CR10)/AG$6*100000*AG$3</f>
        <v>342124.67022983177</v>
      </c>
      <c r="AH13" s="416">
        <f>(Data!AF10+Data!CS10)/AH$6*100000*AH$3</f>
        <v>219016.25200142691</v>
      </c>
      <c r="AI13" s="416">
        <f>(Data!AG10+Data!CT10)/AI$6*100000*AI$3</f>
        <v>151282.40934692547</v>
      </c>
      <c r="AJ13" s="416">
        <f>(Data!AH10+Data!CU10)/AJ$6*100000*AJ$3</f>
        <v>137858.39309778652</v>
      </c>
      <c r="AK13" s="424" t="s">
        <v>353</v>
      </c>
      <c r="AL13" s="416">
        <f t="shared" si="4"/>
        <v>1311175.1381993941</v>
      </c>
      <c r="AM13" s="416">
        <f>(Data!Q10+Data!CD10)/AM$6*100000*AM$3</f>
        <v>0</v>
      </c>
      <c r="AN13" s="416">
        <f>(Data!R10+Data!CE10)/AN$6*100000*AN$3</f>
        <v>0</v>
      </c>
      <c r="AO13" s="416">
        <f>(Data!S10+Data!CF10)/AO$6*100000*AO$3</f>
        <v>0</v>
      </c>
      <c r="AP13" s="416">
        <f>(Data!T10+Data!CG10)/AP$6*100000*AP$3</f>
        <v>0</v>
      </c>
      <c r="AQ13" s="416">
        <f>(Data!U10+Data!CH10)/AQ$6*100000*AQ$3</f>
        <v>7939.8555938763866</v>
      </c>
      <c r="AR13" s="416">
        <f>(Data!V10+Data!CI10)/AR$6*100000*AR$3</f>
        <v>4089.6659254147185</v>
      </c>
      <c r="AS13" s="416">
        <f>(Data!W10+Data!CJ10)/AS$6*100000*AS$3</f>
        <v>13474.743278068172</v>
      </c>
      <c r="AT13" s="416">
        <f>(Data!X10+Data!CK10)/AT$6*100000*AT$3</f>
        <v>27218.290691344584</v>
      </c>
      <c r="AU13" s="416">
        <f>(Data!Y10+Data!CL10)/AU$6*100000*AU$3</f>
        <v>21240.871482612831</v>
      </c>
      <c r="AV13" s="416">
        <f>(Data!Z10+Data!CM10)/AV$6*100000*AV$3</f>
        <v>40419.593879318643</v>
      </c>
      <c r="AW13" s="416">
        <f>(Data!AA10+Data!CN10)/AW$6*100000*AW$3</f>
        <v>86592.774166044983</v>
      </c>
      <c r="AX13" s="416">
        <f>(Data!AB10+Data!CO10)/AX$6*100000*AX$3</f>
        <v>138811.38065738443</v>
      </c>
      <c r="AY13" s="416">
        <f>(Data!AC10+Data!CP10)/AY$6*100000*AY$3</f>
        <v>206283.44047960898</v>
      </c>
      <c r="AZ13" s="416">
        <f>(Data!AD10+Data!CQ10)/AZ$6*100000*AZ$3</f>
        <v>282942.88133609621</v>
      </c>
      <c r="BA13" s="416">
        <f>(Data!AE10+Data!CR10)/BA$6*100000*BA$3</f>
        <v>228083.1134865545</v>
      </c>
      <c r="BB13" s="416">
        <f>(Data!AF10+Data!CS10)/BB$6*100000*BB$3</f>
        <v>109508.12600071346</v>
      </c>
      <c r="BC13" s="416">
        <f>(Data!AG10+Data!CT10)/BC$6*100000*BC$3</f>
        <v>75641.204673462737</v>
      </c>
      <c r="BD13" s="416">
        <f>(Data!AH10+Data!CU10)/BD$6*100000*BD$3</f>
        <v>68929.196548893262</v>
      </c>
      <c r="BE13" s="411"/>
      <c r="BF13" s="411"/>
      <c r="BG13" s="411"/>
      <c r="BH13" s="411"/>
      <c r="BI13" s="411"/>
      <c r="BJ13" s="411"/>
      <c r="BK13" s="411"/>
      <c r="BL13" s="411"/>
      <c r="BM13" s="411"/>
      <c r="BN13" s="411"/>
      <c r="BO13" s="411"/>
      <c r="BP13" s="411"/>
      <c r="BQ13" s="411"/>
      <c r="BR13" s="411"/>
      <c r="BS13" s="411"/>
      <c r="BT13" s="411"/>
      <c r="BU13" s="411"/>
      <c r="BV13" s="411"/>
      <c r="BW13" s="411"/>
      <c r="BX13" s="411"/>
      <c r="BY13" s="411"/>
      <c r="BZ13" s="411"/>
      <c r="CA13" s="411"/>
      <c r="CB13" s="411"/>
      <c r="CC13" s="411"/>
      <c r="CD13" s="411"/>
      <c r="CE13" s="411"/>
      <c r="CF13" s="411"/>
      <c r="CG13" s="411"/>
      <c r="CH13" s="411"/>
      <c r="CI13" s="411"/>
      <c r="CJ13" s="411"/>
      <c r="CK13" s="411"/>
      <c r="CL13" s="411"/>
      <c r="CM13" s="411"/>
      <c r="CN13" s="411"/>
      <c r="CO13" s="411"/>
      <c r="CP13" s="411"/>
      <c r="CQ13" s="411"/>
      <c r="CR13" s="411"/>
      <c r="CS13" s="411"/>
      <c r="CT13" s="411"/>
      <c r="CU13" s="411"/>
      <c r="CV13" s="411"/>
      <c r="CW13" s="411"/>
      <c r="CX13" s="411"/>
      <c r="CY13" s="411"/>
      <c r="CZ13" s="411"/>
      <c r="DA13" s="411"/>
      <c r="DB13" s="411"/>
      <c r="DC13" s="411"/>
      <c r="DD13" s="411"/>
      <c r="DE13" s="411"/>
      <c r="DF13" s="411"/>
      <c r="DG13" s="411"/>
      <c r="DH13" s="411"/>
      <c r="DI13" s="411"/>
      <c r="DJ13" s="411"/>
      <c r="DK13" s="411"/>
      <c r="DL13" s="411"/>
      <c r="DM13" s="411"/>
      <c r="DN13" s="411"/>
      <c r="DO13" s="411"/>
      <c r="DP13" s="411"/>
      <c r="DQ13" s="411"/>
      <c r="DR13" s="411"/>
      <c r="DS13" s="411"/>
      <c r="DT13" s="411"/>
      <c r="DU13" s="411"/>
      <c r="DV13" s="411"/>
      <c r="DW13" s="411"/>
      <c r="DX13" s="411"/>
      <c r="DY13" s="411"/>
      <c r="DZ13" s="411"/>
      <c r="EA13" s="411"/>
      <c r="EB13" s="411"/>
      <c r="EC13" s="411"/>
      <c r="ED13" s="411"/>
      <c r="EE13" s="411"/>
      <c r="EF13" s="411"/>
      <c r="EG13" s="411"/>
    </row>
    <row r="14" spans="1:137" s="352" customFormat="1" ht="12" customHeight="1">
      <c r="A14" s="276"/>
      <c r="B14" s="129" t="str">
        <f>UPPER(LEFT(TRIM(Data!B11),1)) &amp; MID(TRIM(Data!B11),2,50)</f>
        <v>Tiesiosios žarnos, išangės</v>
      </c>
      <c r="C14" s="129" t="str">
        <f>Data!C11</f>
        <v>C19-C21</v>
      </c>
      <c r="D14" s="130">
        <f>Data!D11+Data!BQ11</f>
        <v>621</v>
      </c>
      <c r="E14" s="131">
        <f t="shared" si="5"/>
        <v>21.377598617513108</v>
      </c>
      <c r="F14" s="132">
        <f t="shared" si="6"/>
        <v>14.203371209647008</v>
      </c>
      <c r="G14" s="133">
        <f t="shared" si="7"/>
        <v>9.7071223795942618</v>
      </c>
      <c r="H14" s="281"/>
      <c r="I14" s="281"/>
      <c r="J14" s="281"/>
      <c r="K14" s="281"/>
      <c r="L14" s="281"/>
      <c r="M14" s="281"/>
      <c r="N14" s="281"/>
      <c r="O14" s="280"/>
      <c r="P14" s="360"/>
      <c r="Q14" s="424" t="s">
        <v>353</v>
      </c>
      <c r="R14" s="416">
        <f t="shared" si="3"/>
        <v>1420337.1209647008</v>
      </c>
      <c r="S14" s="416">
        <f>(Data!Q11+Data!CD11)/S$6*100000*S$3</f>
        <v>0</v>
      </c>
      <c r="T14" s="416">
        <f>(Data!R11+Data!CE11)/T$6*100000*T$3</f>
        <v>0</v>
      </c>
      <c r="U14" s="416">
        <f>(Data!S11+Data!CF11)/U$6*100000*U$3</f>
        <v>0</v>
      </c>
      <c r="V14" s="416">
        <f>(Data!T11+Data!CG11)/V$6*100000*V$3</f>
        <v>0</v>
      </c>
      <c r="W14" s="416">
        <f>(Data!U11+Data!CH11)/W$6*100000*W$3</f>
        <v>0</v>
      </c>
      <c r="X14" s="416">
        <f>(Data!V11+Data!CI11)/X$6*100000*X$3</f>
        <v>3578.4576847378785</v>
      </c>
      <c r="Y14" s="416">
        <f>(Data!W11+Data!CJ11)/Y$6*100000*Y$3</f>
        <v>11790.400368309651</v>
      </c>
      <c r="Z14" s="416">
        <f>(Data!X11+Data!CK11)/Z$6*100000*Z$3</f>
        <v>7938.6681183088376</v>
      </c>
      <c r="AA14" s="416">
        <f>(Data!Y11+Data!CL11)/AA$6*100000*AA$3</f>
        <v>10620.435741306415</v>
      </c>
      <c r="AB14" s="416">
        <f>(Data!Z11+Data!CM11)/AB$6*100000*AB$3</f>
        <v>80839.187758637272</v>
      </c>
      <c r="AC14" s="416">
        <f>(Data!AA11+Data!CN11)/AC$6*100000*AC$3</f>
        <v>93253.756794202272</v>
      </c>
      <c r="AD14" s="416">
        <f>(Data!AB11+Data!CO11)/AD$6*100000*AD$3</f>
        <v>168824.65215087295</v>
      </c>
      <c r="AE14" s="416">
        <f>(Data!AC11+Data!CP11)/AE$6*100000*AE$3</f>
        <v>225622.51302457234</v>
      </c>
      <c r="AF14" s="416">
        <f>(Data!AD11+Data!CQ11)/AF$6*100000*AF$3</f>
        <v>258847.98876489582</v>
      </c>
      <c r="AG14" s="416">
        <f>(Data!AE11+Data!CR11)/AG$6*100000*AG$3</f>
        <v>228083.1134865545</v>
      </c>
      <c r="AH14" s="416">
        <f>(Data!AF11+Data!CS11)/AH$6*100000*AH$3</f>
        <v>152647.69078887333</v>
      </c>
      <c r="AI14" s="416">
        <f>(Data!AG11+Data!CT11)/AI$6*100000*AI$3</f>
        <v>93096.86729041567</v>
      </c>
      <c r="AJ14" s="416">
        <f>(Data!AH11+Data!CU11)/AJ$6*100000*AJ$3</f>
        <v>85193.388993014145</v>
      </c>
      <c r="AK14" s="424" t="s">
        <v>353</v>
      </c>
      <c r="AL14" s="416">
        <f t="shared" si="4"/>
        <v>970712.23795942625</v>
      </c>
      <c r="AM14" s="416">
        <f>(Data!Q11+Data!CD11)/AM$6*100000*AM$3</f>
        <v>0</v>
      </c>
      <c r="AN14" s="416">
        <f>(Data!R11+Data!CE11)/AN$6*100000*AN$3</f>
        <v>0</v>
      </c>
      <c r="AO14" s="416">
        <f>(Data!S11+Data!CF11)/AO$6*100000*AO$3</f>
        <v>0</v>
      </c>
      <c r="AP14" s="416">
        <f>(Data!T11+Data!CG11)/AP$6*100000*AP$3</f>
        <v>0</v>
      </c>
      <c r="AQ14" s="416">
        <f>(Data!U11+Data!CH11)/AQ$6*100000*AQ$3</f>
        <v>0</v>
      </c>
      <c r="AR14" s="416">
        <f>(Data!V11+Data!CI11)/AR$6*100000*AR$3</f>
        <v>4089.6659254147185</v>
      </c>
      <c r="AS14" s="416">
        <f>(Data!W11+Data!CJ11)/AS$6*100000*AS$3</f>
        <v>10106.057458551128</v>
      </c>
      <c r="AT14" s="416">
        <f>(Data!X11+Data!CK11)/AT$6*100000*AT$3</f>
        <v>6804.572672836146</v>
      </c>
      <c r="AU14" s="416">
        <f>(Data!Y11+Data!CL11)/AU$6*100000*AU$3</f>
        <v>9103.2306354054981</v>
      </c>
      <c r="AV14" s="416">
        <f>(Data!Z11+Data!CM11)/AV$6*100000*AV$3</f>
        <v>69290.732364546231</v>
      </c>
      <c r="AW14" s="416">
        <f>(Data!AA11+Data!CN11)/AW$6*100000*AW$3</f>
        <v>66609.826281573056</v>
      </c>
      <c r="AX14" s="416">
        <f>(Data!AB11+Data!CO11)/AX$6*100000*AX$3</f>
        <v>112549.76810058198</v>
      </c>
      <c r="AY14" s="416">
        <f>(Data!AC11+Data!CP11)/AY$6*100000*AY$3</f>
        <v>180498.01041965786</v>
      </c>
      <c r="AZ14" s="416">
        <f>(Data!AD11+Data!CQ11)/AZ$6*100000*AZ$3</f>
        <v>194135.99157367187</v>
      </c>
      <c r="BA14" s="416">
        <f>(Data!AE11+Data!CR11)/BA$6*100000*BA$3</f>
        <v>152055.40899103633</v>
      </c>
      <c r="BB14" s="416">
        <f>(Data!AF11+Data!CS11)/BB$6*100000*BB$3</f>
        <v>76323.845394436663</v>
      </c>
      <c r="BC14" s="416">
        <f>(Data!AG11+Data!CT11)/BC$6*100000*BC$3</f>
        <v>46548.433645207835</v>
      </c>
      <c r="BD14" s="416">
        <f>(Data!AH11+Data!CU11)/BD$6*100000*BD$3</f>
        <v>42596.694496507072</v>
      </c>
      <c r="BE14" s="411"/>
      <c r="BF14" s="411"/>
      <c r="BG14" s="411"/>
      <c r="BH14" s="411"/>
      <c r="BI14" s="411"/>
      <c r="BJ14" s="411"/>
      <c r="BK14" s="411"/>
      <c r="BL14" s="411"/>
      <c r="BM14" s="411"/>
      <c r="BN14" s="411"/>
      <c r="BO14" s="411"/>
      <c r="BP14" s="411"/>
      <c r="BQ14" s="411"/>
      <c r="BR14" s="411"/>
      <c r="BS14" s="411"/>
      <c r="BT14" s="411"/>
      <c r="BU14" s="411"/>
      <c r="BV14" s="411"/>
      <c r="BW14" s="411"/>
      <c r="BX14" s="411"/>
      <c r="BY14" s="411"/>
      <c r="BZ14" s="411"/>
      <c r="CA14" s="411"/>
      <c r="CB14" s="411"/>
      <c r="CC14" s="411"/>
      <c r="CD14" s="411"/>
      <c r="CE14" s="411"/>
      <c r="CF14" s="411"/>
      <c r="CG14" s="411"/>
      <c r="CH14" s="411"/>
      <c r="CI14" s="411"/>
      <c r="CJ14" s="411"/>
      <c r="CK14" s="411"/>
      <c r="CL14" s="411"/>
      <c r="CM14" s="411"/>
      <c r="CN14" s="411"/>
      <c r="CO14" s="411"/>
      <c r="CP14" s="411"/>
      <c r="CQ14" s="411"/>
      <c r="CR14" s="411"/>
      <c r="CS14" s="411"/>
      <c r="CT14" s="411"/>
      <c r="CU14" s="411"/>
      <c r="CV14" s="411"/>
      <c r="CW14" s="411"/>
      <c r="CX14" s="411"/>
      <c r="CY14" s="411"/>
      <c r="CZ14" s="411"/>
      <c r="DA14" s="411"/>
      <c r="DB14" s="411"/>
      <c r="DC14" s="411"/>
      <c r="DD14" s="411"/>
      <c r="DE14" s="411"/>
      <c r="DF14" s="411"/>
      <c r="DG14" s="411"/>
      <c r="DH14" s="411"/>
      <c r="DI14" s="411"/>
      <c r="DJ14" s="411"/>
      <c r="DK14" s="411"/>
      <c r="DL14" s="411"/>
      <c r="DM14" s="411"/>
      <c r="DN14" s="411"/>
      <c r="DO14" s="411"/>
      <c r="DP14" s="411"/>
      <c r="DQ14" s="411"/>
      <c r="DR14" s="411"/>
      <c r="DS14" s="411"/>
      <c r="DT14" s="411"/>
      <c r="DU14" s="411"/>
      <c r="DV14" s="411"/>
      <c r="DW14" s="411"/>
      <c r="DX14" s="411"/>
      <c r="DY14" s="411"/>
      <c r="DZ14" s="411"/>
      <c r="EA14" s="411"/>
      <c r="EB14" s="411"/>
      <c r="EC14" s="411"/>
      <c r="ED14" s="411"/>
      <c r="EE14" s="411"/>
      <c r="EF14" s="411"/>
      <c r="EG14" s="411"/>
    </row>
    <row r="15" spans="1:137" s="352" customFormat="1" ht="12" customHeight="1">
      <c r="A15" s="276"/>
      <c r="B15" s="283" t="str">
        <f>UPPER(LEFT(TRIM(Data!B12),1)) &amp; MID(TRIM(Data!B12),2,50)</f>
        <v>Kepenų</v>
      </c>
      <c r="C15" s="283" t="str">
        <f>Data!C12</f>
        <v>C22</v>
      </c>
      <c r="D15" s="284">
        <f>Data!D12+Data!BQ12</f>
        <v>240</v>
      </c>
      <c r="E15" s="285">
        <f t="shared" si="5"/>
        <v>8.2618738618408152</v>
      </c>
      <c r="F15" s="286">
        <f t="shared" si="6"/>
        <v>5.7599501773312713</v>
      </c>
      <c r="G15" s="286">
        <f t="shared" si="7"/>
        <v>4.0455721083052563</v>
      </c>
      <c r="H15" s="281"/>
      <c r="I15" s="281"/>
      <c r="J15" s="281"/>
      <c r="K15" s="281"/>
      <c r="L15" s="281"/>
      <c r="M15" s="281"/>
      <c r="N15" s="281"/>
      <c r="O15" s="280"/>
      <c r="P15" s="360"/>
      <c r="Q15" s="424" t="s">
        <v>353</v>
      </c>
      <c r="R15" s="416">
        <f t="shared" si="3"/>
        <v>575995.01773312711</v>
      </c>
      <c r="S15" s="416">
        <f>(Data!Q12+Data!CD12)/S$6*100000*S$3</f>
        <v>5298.5746834101628</v>
      </c>
      <c r="T15" s="416">
        <f>(Data!R12+Data!CE12)/T$6*100000*T$3</f>
        <v>0</v>
      </c>
      <c r="U15" s="416">
        <f>(Data!S12+Data!CF12)/U$6*100000*U$3</f>
        <v>0</v>
      </c>
      <c r="V15" s="416">
        <f>(Data!T12+Data!CG12)/V$6*100000*V$3</f>
        <v>0</v>
      </c>
      <c r="W15" s="416">
        <f>(Data!U12+Data!CH12)/W$6*100000*W$3</f>
        <v>3473.6868223209194</v>
      </c>
      <c r="X15" s="416">
        <f>(Data!V12+Data!CI12)/X$6*100000*X$3</f>
        <v>0</v>
      </c>
      <c r="Y15" s="416">
        <f>(Data!W12+Data!CJ12)/Y$6*100000*Y$3</f>
        <v>3930.1334561032168</v>
      </c>
      <c r="Z15" s="416">
        <f>(Data!X12+Data!CK12)/Z$6*100000*Z$3</f>
        <v>0</v>
      </c>
      <c r="AA15" s="416">
        <f>(Data!Y12+Data!CL12)/AA$6*100000*AA$3</f>
        <v>17700.72623551069</v>
      </c>
      <c r="AB15" s="416">
        <f>(Data!Z12+Data!CM12)/AB$6*100000*AB$3</f>
        <v>37051.29438937542</v>
      </c>
      <c r="AC15" s="416">
        <f>(Data!AA12+Data!CN12)/AC$6*100000*AC$3</f>
        <v>65277.629755941598</v>
      </c>
      <c r="AD15" s="416">
        <f>(Data!AB12+Data!CO12)/AD$6*100000*AD$3</f>
        <v>73157.349265378274</v>
      </c>
      <c r="AE15" s="416">
        <f>(Data!AC12+Data!CP12)/AE$6*100000*AE$3</f>
        <v>76184.225177128319</v>
      </c>
      <c r="AF15" s="416">
        <f>(Data!AD12+Data!CQ12)/AF$6*100000*AF$3</f>
        <v>121162.88835803635</v>
      </c>
      <c r="AG15" s="416">
        <f>(Data!AE12+Data!CR12)/AG$6*100000*AG$3</f>
        <v>52459.116101907537</v>
      </c>
      <c r="AH15" s="416">
        <f>(Data!AF12+Data!CS12)/AH$6*100000*AH$3</f>
        <v>61390.919121612089</v>
      </c>
      <c r="AI15" s="416">
        <f>(Data!AG12+Data!CT12)/AI$6*100000*AI$3</f>
        <v>27929.060187124705</v>
      </c>
      <c r="AJ15" s="416">
        <f>(Data!AH12+Data!CU12)/AJ$6*100000*AJ$3</f>
        <v>30979.414179277872</v>
      </c>
      <c r="AK15" s="424" t="s">
        <v>353</v>
      </c>
      <c r="AL15" s="416">
        <f t="shared" si="4"/>
        <v>404557.21083052561</v>
      </c>
      <c r="AM15" s="416">
        <f>(Data!Q12+Data!CD12)/AM$6*100000*AM$3</f>
        <v>7947.8620251152443</v>
      </c>
      <c r="AN15" s="416">
        <f>(Data!R12+Data!CE12)/AN$6*100000*AN$3</f>
        <v>0</v>
      </c>
      <c r="AO15" s="416">
        <f>(Data!S12+Data!CF12)/AO$6*100000*AO$3</f>
        <v>0</v>
      </c>
      <c r="AP15" s="416">
        <f>(Data!T12+Data!CG12)/AP$6*100000*AP$3</f>
        <v>0</v>
      </c>
      <c r="AQ15" s="416">
        <f>(Data!U12+Data!CH12)/AQ$6*100000*AQ$3</f>
        <v>3969.9277969381933</v>
      </c>
      <c r="AR15" s="416">
        <f>(Data!V12+Data!CI12)/AR$6*100000*AR$3</f>
        <v>0</v>
      </c>
      <c r="AS15" s="416">
        <f>(Data!W12+Data!CJ12)/AS$6*100000*AS$3</f>
        <v>3368.685819517043</v>
      </c>
      <c r="AT15" s="416">
        <f>(Data!X12+Data!CK12)/AT$6*100000*AT$3</f>
        <v>0</v>
      </c>
      <c r="AU15" s="416">
        <f>(Data!Y12+Data!CL12)/AU$6*100000*AU$3</f>
        <v>15172.051059009164</v>
      </c>
      <c r="AV15" s="416">
        <f>(Data!Z12+Data!CM12)/AV$6*100000*AV$3</f>
        <v>31758.252333750359</v>
      </c>
      <c r="AW15" s="416">
        <f>(Data!AA12+Data!CN12)/AW$6*100000*AW$3</f>
        <v>46626.878397101136</v>
      </c>
      <c r="AX15" s="416">
        <f>(Data!AB12+Data!CO12)/AX$6*100000*AX$3</f>
        <v>48771.566176918852</v>
      </c>
      <c r="AY15" s="416">
        <f>(Data!AC12+Data!CP12)/AY$6*100000*AY$3</f>
        <v>60947.380141702663</v>
      </c>
      <c r="AZ15" s="416">
        <f>(Data!AD12+Data!CQ12)/AZ$6*100000*AZ$3</f>
        <v>90872.16626852726</v>
      </c>
      <c r="BA15" s="416">
        <f>(Data!AE12+Data!CR12)/BA$6*100000*BA$3</f>
        <v>34972.744067938358</v>
      </c>
      <c r="BB15" s="416">
        <f>(Data!AF12+Data!CS12)/BB$6*100000*BB$3</f>
        <v>30695.459560806044</v>
      </c>
      <c r="BC15" s="416">
        <f>(Data!AG12+Data!CT12)/BC$6*100000*BC$3</f>
        <v>13964.530093562353</v>
      </c>
      <c r="BD15" s="416">
        <f>(Data!AH12+Data!CU12)/BD$6*100000*BD$3</f>
        <v>15489.707089638936</v>
      </c>
      <c r="BE15" s="411"/>
      <c r="BF15" s="411"/>
      <c r="BG15" s="411"/>
      <c r="BH15" s="411"/>
      <c r="BI15" s="411"/>
      <c r="BJ15" s="411"/>
      <c r="BK15" s="411"/>
      <c r="BL15" s="411"/>
      <c r="BM15" s="411"/>
      <c r="BN15" s="411"/>
      <c r="BO15" s="411"/>
      <c r="BP15" s="411"/>
      <c r="BQ15" s="411"/>
      <c r="BR15" s="411"/>
      <c r="BS15" s="411"/>
      <c r="BT15" s="411"/>
      <c r="BU15" s="411"/>
      <c r="BV15" s="411"/>
      <c r="BW15" s="411"/>
      <c r="BX15" s="411"/>
      <c r="BY15" s="411"/>
      <c r="BZ15" s="411"/>
      <c r="CA15" s="411"/>
      <c r="CB15" s="411"/>
      <c r="CC15" s="411"/>
      <c r="CD15" s="411"/>
      <c r="CE15" s="411"/>
      <c r="CF15" s="411"/>
      <c r="CG15" s="411"/>
      <c r="CH15" s="411"/>
      <c r="CI15" s="411"/>
      <c r="CJ15" s="411"/>
      <c r="CK15" s="411"/>
      <c r="CL15" s="411"/>
      <c r="CM15" s="411"/>
      <c r="CN15" s="411"/>
      <c r="CO15" s="411"/>
      <c r="CP15" s="411"/>
      <c r="CQ15" s="411"/>
      <c r="CR15" s="411"/>
      <c r="CS15" s="411"/>
      <c r="CT15" s="411"/>
      <c r="CU15" s="411"/>
      <c r="CV15" s="411"/>
      <c r="CW15" s="411"/>
      <c r="CX15" s="411"/>
      <c r="CY15" s="411"/>
      <c r="CZ15" s="411"/>
      <c r="DA15" s="411"/>
      <c r="DB15" s="411"/>
      <c r="DC15" s="411"/>
      <c r="DD15" s="411"/>
      <c r="DE15" s="411"/>
      <c r="DF15" s="411"/>
      <c r="DG15" s="411"/>
      <c r="DH15" s="411"/>
      <c r="DI15" s="411"/>
      <c r="DJ15" s="411"/>
      <c r="DK15" s="411"/>
      <c r="DL15" s="411"/>
      <c r="DM15" s="411"/>
      <c r="DN15" s="411"/>
      <c r="DO15" s="411"/>
      <c r="DP15" s="411"/>
      <c r="DQ15" s="411"/>
      <c r="DR15" s="411"/>
      <c r="DS15" s="411"/>
      <c r="DT15" s="411"/>
      <c r="DU15" s="411"/>
      <c r="DV15" s="411"/>
      <c r="DW15" s="411"/>
      <c r="DX15" s="411"/>
      <c r="DY15" s="411"/>
      <c r="DZ15" s="411"/>
      <c r="EA15" s="411"/>
      <c r="EB15" s="411"/>
      <c r="EC15" s="411"/>
      <c r="ED15" s="411"/>
      <c r="EE15" s="411"/>
      <c r="EF15" s="411"/>
      <c r="EG15" s="411"/>
    </row>
    <row r="16" spans="1:137" s="352" customFormat="1" ht="12" customHeight="1">
      <c r="A16" s="276"/>
      <c r="B16" s="129" t="str">
        <f>UPPER(LEFT(TRIM(Data!B13),1)) &amp; MID(TRIM(Data!B13),2,50)</f>
        <v>Tulžies pūslės, ekstrahepatinių takų</v>
      </c>
      <c r="C16" s="129" t="str">
        <f>Data!C13</f>
        <v>C23, C24</v>
      </c>
      <c r="D16" s="130">
        <f>Data!D13+Data!BQ13</f>
        <v>107</v>
      </c>
      <c r="E16" s="131">
        <f t="shared" si="5"/>
        <v>3.6834187634040298</v>
      </c>
      <c r="F16" s="132">
        <f t="shared" si="6"/>
        <v>2.2404802275070654</v>
      </c>
      <c r="G16" s="133">
        <f t="shared" si="7"/>
        <v>1.4621975995223129</v>
      </c>
      <c r="H16" s="281"/>
      <c r="I16" s="281"/>
      <c r="J16" s="281"/>
      <c r="K16" s="281"/>
      <c r="L16" s="281"/>
      <c r="M16" s="281"/>
      <c r="N16" s="281"/>
      <c r="O16" s="280"/>
      <c r="P16" s="360"/>
      <c r="Q16" s="424" t="s">
        <v>353</v>
      </c>
      <c r="R16" s="416">
        <f t="shared" si="3"/>
        <v>224048.02275070653</v>
      </c>
      <c r="S16" s="416">
        <f>(Data!Q13+Data!CD13)/S$6*100000*S$3</f>
        <v>0</v>
      </c>
      <c r="T16" s="416">
        <f>(Data!R13+Data!CE13)/T$6*100000*T$3</f>
        <v>0</v>
      </c>
      <c r="U16" s="416">
        <f>(Data!S13+Data!CF13)/U$6*100000*U$3</f>
        <v>0</v>
      </c>
      <c r="V16" s="416">
        <f>(Data!T13+Data!CG13)/V$6*100000*V$3</f>
        <v>0</v>
      </c>
      <c r="W16" s="416">
        <f>(Data!U13+Data!CH13)/W$6*100000*W$3</f>
        <v>0</v>
      </c>
      <c r="X16" s="416">
        <f>(Data!V13+Data!CI13)/X$6*100000*X$3</f>
        <v>0</v>
      </c>
      <c r="Y16" s="416">
        <f>(Data!W13+Data!CJ13)/Y$6*100000*Y$3</f>
        <v>0</v>
      </c>
      <c r="Z16" s="416">
        <f>(Data!X13+Data!CK13)/Z$6*100000*Z$3</f>
        <v>0</v>
      </c>
      <c r="AA16" s="416">
        <f>(Data!Y13+Data!CL13)/AA$6*100000*AA$3</f>
        <v>3540.1452471021375</v>
      </c>
      <c r="AB16" s="416">
        <f>(Data!Z13+Data!CM13)/AB$6*100000*AB$3</f>
        <v>13473.19795977288</v>
      </c>
      <c r="AC16" s="416">
        <f>(Data!AA13+Data!CN13)/AC$6*100000*AC$3</f>
        <v>15542.292799033716</v>
      </c>
      <c r="AD16" s="416">
        <f>(Data!AB13+Data!CO13)/AD$6*100000*AD$3</f>
        <v>14068.721012572747</v>
      </c>
      <c r="AE16" s="416">
        <f>(Data!AC13+Data!CP13)/AE$6*100000*AE$3</f>
        <v>23441.300054501025</v>
      </c>
      <c r="AF16" s="416">
        <f>(Data!AD13+Data!CQ13)/AF$6*100000*AF$3</f>
        <v>35798.126105783464</v>
      </c>
      <c r="AG16" s="416">
        <f>(Data!AE13+Data!CR13)/AG$6*100000*AG$3</f>
        <v>38774.129292714271</v>
      </c>
      <c r="AH16" s="416">
        <f>(Data!AF13+Data!CS13)/AH$6*100000*AH$3</f>
        <v>34843.494636590651</v>
      </c>
      <c r="AI16" s="416">
        <f>(Data!AG13+Data!CT13)/AI$6*100000*AI$3</f>
        <v>19783.084299213333</v>
      </c>
      <c r="AJ16" s="416">
        <f>(Data!AH13+Data!CU13)/AJ$6*100000*AJ$3</f>
        <v>24783.531343422295</v>
      </c>
      <c r="AK16" s="424" t="s">
        <v>353</v>
      </c>
      <c r="AL16" s="416">
        <f t="shared" si="4"/>
        <v>146219.75995223128</v>
      </c>
      <c r="AM16" s="416">
        <f>(Data!Q13+Data!CD13)/AM$6*100000*AM$3</f>
        <v>0</v>
      </c>
      <c r="AN16" s="416">
        <f>(Data!R13+Data!CE13)/AN$6*100000*AN$3</f>
        <v>0</v>
      </c>
      <c r="AO16" s="416">
        <f>(Data!S13+Data!CF13)/AO$6*100000*AO$3</f>
        <v>0</v>
      </c>
      <c r="AP16" s="416">
        <f>(Data!T13+Data!CG13)/AP$6*100000*AP$3</f>
        <v>0</v>
      </c>
      <c r="AQ16" s="416">
        <f>(Data!U13+Data!CH13)/AQ$6*100000*AQ$3</f>
        <v>0</v>
      </c>
      <c r="AR16" s="416">
        <f>(Data!V13+Data!CI13)/AR$6*100000*AR$3</f>
        <v>0</v>
      </c>
      <c r="AS16" s="416">
        <f>(Data!W13+Data!CJ13)/AS$6*100000*AS$3</f>
        <v>0</v>
      </c>
      <c r="AT16" s="416">
        <f>(Data!X13+Data!CK13)/AT$6*100000*AT$3</f>
        <v>0</v>
      </c>
      <c r="AU16" s="416">
        <f>(Data!Y13+Data!CL13)/AU$6*100000*AU$3</f>
        <v>3034.4102118018322</v>
      </c>
      <c r="AV16" s="416">
        <f>(Data!Z13+Data!CM13)/AV$6*100000*AV$3</f>
        <v>11548.455394091039</v>
      </c>
      <c r="AW16" s="416">
        <f>(Data!AA13+Data!CN13)/AW$6*100000*AW$3</f>
        <v>11101.637713595512</v>
      </c>
      <c r="AX16" s="416">
        <f>(Data!AB13+Data!CO13)/AX$6*100000*AX$3</f>
        <v>9379.1473417151647</v>
      </c>
      <c r="AY16" s="416">
        <f>(Data!AC13+Data!CP13)/AY$6*100000*AY$3</f>
        <v>18753.04004360082</v>
      </c>
      <c r="AZ16" s="416">
        <f>(Data!AD13+Data!CQ13)/AZ$6*100000*AZ$3</f>
        <v>26848.594579337601</v>
      </c>
      <c r="BA16" s="416">
        <f>(Data!AE13+Data!CR13)/BA$6*100000*BA$3</f>
        <v>25849.419528476181</v>
      </c>
      <c r="BB16" s="416">
        <f>(Data!AF13+Data!CS13)/BB$6*100000*BB$3</f>
        <v>17421.747318295325</v>
      </c>
      <c r="BC16" s="416">
        <f>(Data!AG13+Data!CT13)/BC$6*100000*BC$3</f>
        <v>9891.5421496066665</v>
      </c>
      <c r="BD16" s="416">
        <f>(Data!AH13+Data!CU13)/BD$6*100000*BD$3</f>
        <v>12391.765671711148</v>
      </c>
      <c r="BE16" s="411"/>
      <c r="BF16" s="411"/>
      <c r="BG16" s="411"/>
      <c r="BH16" s="411"/>
      <c r="BI16" s="411"/>
      <c r="BJ16" s="411"/>
      <c r="BK16" s="411"/>
      <c r="BL16" s="411"/>
      <c r="BM16" s="411"/>
      <c r="BN16" s="411"/>
      <c r="BO16" s="411"/>
      <c r="BP16" s="411"/>
      <c r="BQ16" s="411"/>
      <c r="BR16" s="411"/>
      <c r="BS16" s="411"/>
      <c r="BT16" s="411"/>
      <c r="BU16" s="411"/>
      <c r="BV16" s="411"/>
      <c r="BW16" s="411"/>
      <c r="BX16" s="411"/>
      <c r="BY16" s="411"/>
      <c r="BZ16" s="411"/>
      <c r="CA16" s="411"/>
      <c r="CB16" s="411"/>
      <c r="CC16" s="411"/>
      <c r="CD16" s="411"/>
      <c r="CE16" s="411"/>
      <c r="CF16" s="411"/>
      <c r="CG16" s="411"/>
      <c r="CH16" s="411"/>
      <c r="CI16" s="411"/>
      <c r="CJ16" s="411"/>
      <c r="CK16" s="411"/>
      <c r="CL16" s="411"/>
      <c r="CM16" s="411"/>
      <c r="CN16" s="411"/>
      <c r="CO16" s="411"/>
      <c r="CP16" s="411"/>
      <c r="CQ16" s="411"/>
      <c r="CR16" s="411"/>
      <c r="CS16" s="411"/>
      <c r="CT16" s="411"/>
      <c r="CU16" s="411"/>
      <c r="CV16" s="411"/>
      <c r="CW16" s="411"/>
      <c r="CX16" s="411"/>
      <c r="CY16" s="411"/>
      <c r="CZ16" s="411"/>
      <c r="DA16" s="411"/>
      <c r="DB16" s="411"/>
      <c r="DC16" s="411"/>
      <c r="DD16" s="411"/>
      <c r="DE16" s="411"/>
      <c r="DF16" s="411"/>
      <c r="DG16" s="411"/>
      <c r="DH16" s="411"/>
      <c r="DI16" s="411"/>
      <c r="DJ16" s="411"/>
      <c r="DK16" s="411"/>
      <c r="DL16" s="411"/>
      <c r="DM16" s="411"/>
      <c r="DN16" s="411"/>
      <c r="DO16" s="411"/>
      <c r="DP16" s="411"/>
      <c r="DQ16" s="411"/>
      <c r="DR16" s="411"/>
      <c r="DS16" s="411"/>
      <c r="DT16" s="411"/>
      <c r="DU16" s="411"/>
      <c r="DV16" s="411"/>
      <c r="DW16" s="411"/>
      <c r="DX16" s="411"/>
      <c r="DY16" s="411"/>
      <c r="DZ16" s="411"/>
      <c r="EA16" s="411"/>
      <c r="EB16" s="411"/>
      <c r="EC16" s="411"/>
      <c r="ED16" s="411"/>
      <c r="EE16" s="411"/>
      <c r="EF16" s="411"/>
      <c r="EG16" s="411"/>
    </row>
    <row r="17" spans="1:137" s="352" customFormat="1" ht="12" customHeight="1">
      <c r="A17" s="276"/>
      <c r="B17" s="283" t="str">
        <f>UPPER(LEFT(TRIM(Data!B14),1)) &amp; MID(TRIM(Data!B14),2,50)</f>
        <v>Kasos</v>
      </c>
      <c r="C17" s="283" t="str">
        <f>Data!C14</f>
        <v>C25</v>
      </c>
      <c r="D17" s="284">
        <f>Data!D14+Data!BQ14</f>
        <v>531</v>
      </c>
      <c r="E17" s="285">
        <f t="shared" si="5"/>
        <v>18.279395919322802</v>
      </c>
      <c r="F17" s="286">
        <f t="shared" si="6"/>
        <v>11.975908229561206</v>
      </c>
      <c r="G17" s="286">
        <f t="shared" si="7"/>
        <v>8.116833138323555</v>
      </c>
      <c r="H17" s="281"/>
      <c r="I17" s="281"/>
      <c r="J17" s="281"/>
      <c r="K17" s="281"/>
      <c r="L17" s="281"/>
      <c r="M17" s="281"/>
      <c r="N17" s="281"/>
      <c r="O17" s="280"/>
      <c r="P17" s="360"/>
      <c r="Q17" s="424" t="s">
        <v>353</v>
      </c>
      <c r="R17" s="416">
        <f t="shared" si="3"/>
        <v>1197590.8229561206</v>
      </c>
      <c r="S17" s="416">
        <f>(Data!Q14+Data!CD14)/S$6*100000*S$3</f>
        <v>0</v>
      </c>
      <c r="T17" s="416">
        <f>(Data!R14+Data!CE14)/T$6*100000*T$3</f>
        <v>0</v>
      </c>
      <c r="U17" s="416">
        <f>(Data!S14+Data!CF14)/U$6*100000*U$3</f>
        <v>0</v>
      </c>
      <c r="V17" s="416">
        <f>(Data!T14+Data!CG14)/V$6*100000*V$3</f>
        <v>0</v>
      </c>
      <c r="W17" s="416">
        <f>(Data!U14+Data!CH14)/W$6*100000*W$3</f>
        <v>3473.6868223209194</v>
      </c>
      <c r="X17" s="416">
        <f>(Data!V14+Data!CI14)/X$6*100000*X$3</f>
        <v>3578.4576847378785</v>
      </c>
      <c r="Y17" s="416">
        <f>(Data!W14+Data!CJ14)/Y$6*100000*Y$3</f>
        <v>7860.2669122064335</v>
      </c>
      <c r="Z17" s="416">
        <f>(Data!X14+Data!CK14)/Z$6*100000*Z$3</f>
        <v>7938.6681183088376</v>
      </c>
      <c r="AA17" s="416">
        <f>(Data!Y14+Data!CL14)/AA$6*100000*AA$3</f>
        <v>24781.016729714967</v>
      </c>
      <c r="AB17" s="416">
        <f>(Data!Z14+Data!CM14)/AB$6*100000*AB$3</f>
        <v>60629.390818977961</v>
      </c>
      <c r="AC17" s="416">
        <f>(Data!AA14+Data!CN14)/AC$6*100000*AC$3</f>
        <v>99470.673913815772</v>
      </c>
      <c r="AD17" s="416">
        <f>(Data!AB14+Data!CO14)/AD$6*100000*AD$3</f>
        <v>129432.23331566929</v>
      </c>
      <c r="AE17" s="416">
        <f>(Data!AC14+Data!CP14)/AE$6*100000*AE$3</f>
        <v>155298.61286106927</v>
      </c>
      <c r="AF17" s="416">
        <f>(Data!AD14+Data!CQ14)/AF$6*100000*AF$3</f>
        <v>209281.35261842638</v>
      </c>
      <c r="AG17" s="416">
        <f>(Data!AE14+Data!CR14)/AG$6*100000*AG$3</f>
        <v>182466.4907892436</v>
      </c>
      <c r="AH17" s="416">
        <f>(Data!AF14+Data!CS14)/AH$6*100000*AH$3</f>
        <v>150988.47675855947</v>
      </c>
      <c r="AI17" s="416">
        <f>(Data!AG14+Data!CT14)/AI$6*100000*AI$3</f>
        <v>80296.048037983521</v>
      </c>
      <c r="AJ17" s="416">
        <f>(Data!AH14+Data!CU14)/AJ$6*100000*AJ$3</f>
        <v>82095.447575086349</v>
      </c>
      <c r="AK17" s="424" t="s">
        <v>353</v>
      </c>
      <c r="AL17" s="416">
        <f t="shared" si="4"/>
        <v>811683.31383235543</v>
      </c>
      <c r="AM17" s="416">
        <f>(Data!Q14+Data!CD14)/AM$6*100000*AM$3</f>
        <v>0</v>
      </c>
      <c r="AN17" s="416">
        <f>(Data!R14+Data!CE14)/AN$6*100000*AN$3</f>
        <v>0</v>
      </c>
      <c r="AO17" s="416">
        <f>(Data!S14+Data!CF14)/AO$6*100000*AO$3</f>
        <v>0</v>
      </c>
      <c r="AP17" s="416">
        <f>(Data!T14+Data!CG14)/AP$6*100000*AP$3</f>
        <v>0</v>
      </c>
      <c r="AQ17" s="416">
        <f>(Data!U14+Data!CH14)/AQ$6*100000*AQ$3</f>
        <v>3969.9277969381933</v>
      </c>
      <c r="AR17" s="416">
        <f>(Data!V14+Data!CI14)/AR$6*100000*AR$3</f>
        <v>4089.6659254147185</v>
      </c>
      <c r="AS17" s="416">
        <f>(Data!W14+Data!CJ14)/AS$6*100000*AS$3</f>
        <v>6737.371639034086</v>
      </c>
      <c r="AT17" s="416">
        <f>(Data!X14+Data!CK14)/AT$6*100000*AT$3</f>
        <v>6804.572672836146</v>
      </c>
      <c r="AU17" s="416">
        <f>(Data!Y14+Data!CL14)/AU$6*100000*AU$3</f>
        <v>21240.871482612831</v>
      </c>
      <c r="AV17" s="416">
        <f>(Data!Z14+Data!CM14)/AV$6*100000*AV$3</f>
        <v>51968.049273409684</v>
      </c>
      <c r="AW17" s="416">
        <f>(Data!AA14+Data!CN14)/AW$6*100000*AW$3</f>
        <v>71050.481367011264</v>
      </c>
      <c r="AX17" s="416">
        <f>(Data!AB14+Data!CO14)/AX$6*100000*AX$3</f>
        <v>86288.155543779518</v>
      </c>
      <c r="AY17" s="416">
        <f>(Data!AC14+Data!CP14)/AY$6*100000*AY$3</f>
        <v>124238.89028885541</v>
      </c>
      <c r="AZ17" s="416">
        <f>(Data!AD14+Data!CQ14)/AZ$6*100000*AZ$3</f>
        <v>156961.0144638198</v>
      </c>
      <c r="BA17" s="416">
        <f>(Data!AE14+Data!CR14)/BA$6*100000*BA$3</f>
        <v>121644.32719282906</v>
      </c>
      <c r="BB17" s="416">
        <f>(Data!AF14+Data!CS14)/BB$6*100000*BB$3</f>
        <v>75494.238379279734</v>
      </c>
      <c r="BC17" s="416">
        <f>(Data!AG14+Data!CT14)/BC$6*100000*BC$3</f>
        <v>40148.02401899176</v>
      </c>
      <c r="BD17" s="416">
        <f>(Data!AH14+Data!CU14)/BD$6*100000*BD$3</f>
        <v>41047.723787543175</v>
      </c>
      <c r="BE17" s="411"/>
      <c r="BF17" s="411"/>
      <c r="BG17" s="411"/>
      <c r="BH17" s="411"/>
      <c r="BI17" s="411"/>
      <c r="BJ17" s="411"/>
      <c r="BK17" s="411"/>
      <c r="BL17" s="411"/>
      <c r="BM17" s="411"/>
      <c r="BN17" s="411"/>
      <c r="BO17" s="411"/>
      <c r="BP17" s="411"/>
      <c r="BQ17" s="411"/>
      <c r="BR17" s="411"/>
      <c r="BS17" s="411"/>
      <c r="BT17" s="411"/>
      <c r="BU17" s="411"/>
      <c r="BV17" s="411"/>
      <c r="BW17" s="411"/>
      <c r="BX17" s="411"/>
      <c r="BY17" s="411"/>
      <c r="BZ17" s="411"/>
      <c r="CA17" s="411"/>
      <c r="CB17" s="411"/>
      <c r="CC17" s="411"/>
      <c r="CD17" s="411"/>
      <c r="CE17" s="411"/>
      <c r="CF17" s="411"/>
      <c r="CG17" s="411"/>
      <c r="CH17" s="411"/>
      <c r="CI17" s="411"/>
      <c r="CJ17" s="411"/>
      <c r="CK17" s="411"/>
      <c r="CL17" s="411"/>
      <c r="CM17" s="411"/>
      <c r="CN17" s="411"/>
      <c r="CO17" s="411"/>
      <c r="CP17" s="411"/>
      <c r="CQ17" s="411"/>
      <c r="CR17" s="411"/>
      <c r="CS17" s="411"/>
      <c r="CT17" s="411"/>
      <c r="CU17" s="411"/>
      <c r="CV17" s="411"/>
      <c r="CW17" s="411"/>
      <c r="CX17" s="411"/>
      <c r="CY17" s="411"/>
      <c r="CZ17" s="411"/>
      <c r="DA17" s="411"/>
      <c r="DB17" s="411"/>
      <c r="DC17" s="411"/>
      <c r="DD17" s="411"/>
      <c r="DE17" s="411"/>
      <c r="DF17" s="411"/>
      <c r="DG17" s="411"/>
      <c r="DH17" s="411"/>
      <c r="DI17" s="411"/>
      <c r="DJ17" s="411"/>
      <c r="DK17" s="411"/>
      <c r="DL17" s="411"/>
      <c r="DM17" s="411"/>
      <c r="DN17" s="411"/>
      <c r="DO17" s="411"/>
      <c r="DP17" s="411"/>
      <c r="DQ17" s="411"/>
      <c r="DR17" s="411"/>
      <c r="DS17" s="411"/>
      <c r="DT17" s="411"/>
      <c r="DU17" s="411"/>
      <c r="DV17" s="411"/>
      <c r="DW17" s="411"/>
      <c r="DX17" s="411"/>
      <c r="DY17" s="411"/>
      <c r="DZ17" s="411"/>
      <c r="EA17" s="411"/>
      <c r="EB17" s="411"/>
      <c r="EC17" s="411"/>
      <c r="ED17" s="411"/>
      <c r="EE17" s="411"/>
      <c r="EF17" s="411"/>
      <c r="EG17" s="411"/>
    </row>
    <row r="18" spans="1:137" s="352" customFormat="1" ht="12" customHeight="1">
      <c r="A18" s="276"/>
      <c r="B18" s="129" t="str">
        <f>UPPER(LEFT(TRIM(Data!B15),1)) &amp; MID(TRIM(Data!B15),2,50)</f>
        <v>Kitų virškinimo sistemos organų</v>
      </c>
      <c r="C18" s="129" t="str">
        <f>Data!C15</f>
        <v>C17, C26, C48</v>
      </c>
      <c r="D18" s="130">
        <f>Data!D15+Data!BQ15</f>
        <v>73</v>
      </c>
      <c r="E18" s="131">
        <f t="shared" si="5"/>
        <v>2.5129866329765811</v>
      </c>
      <c r="F18" s="132">
        <f t="shared" si="6"/>
        <v>1.6016072105106252</v>
      </c>
      <c r="G18" s="133">
        <f t="shared" si="7"/>
        <v>1.105460960933941</v>
      </c>
      <c r="H18" s="281"/>
      <c r="I18" s="281"/>
      <c r="J18" s="281"/>
      <c r="K18" s="281"/>
      <c r="L18" s="281"/>
      <c r="M18" s="281"/>
      <c r="N18" s="281"/>
      <c r="O18" s="280"/>
      <c r="P18" s="360"/>
      <c r="Q18" s="424" t="s">
        <v>353</v>
      </c>
      <c r="R18" s="416">
        <f t="shared" si="3"/>
        <v>160160.72105106252</v>
      </c>
      <c r="S18" s="416">
        <f>(Data!Q15+Data!CD15)/S$6*100000*S$3</f>
        <v>5298.5746834101628</v>
      </c>
      <c r="T18" s="416">
        <f>(Data!R15+Data!CE15)/T$6*100000*T$3</f>
        <v>0</v>
      </c>
      <c r="U18" s="416">
        <f>(Data!S15+Data!CF15)/U$6*100000*U$3</f>
        <v>0</v>
      </c>
      <c r="V18" s="416">
        <f>(Data!T15+Data!CG15)/V$6*100000*V$3</f>
        <v>0</v>
      </c>
      <c r="W18" s="416">
        <f>(Data!U15+Data!CH15)/W$6*100000*W$3</f>
        <v>0</v>
      </c>
      <c r="X18" s="416">
        <f>(Data!V15+Data!CI15)/X$6*100000*X$3</f>
        <v>0</v>
      </c>
      <c r="Y18" s="416">
        <f>(Data!W15+Data!CJ15)/Y$6*100000*Y$3</f>
        <v>0</v>
      </c>
      <c r="Z18" s="416">
        <f>(Data!X15+Data!CK15)/Z$6*100000*Z$3</f>
        <v>3969.3340591544188</v>
      </c>
      <c r="AA18" s="416">
        <f>(Data!Y15+Data!CL15)/AA$6*100000*AA$3</f>
        <v>3540.1452471021375</v>
      </c>
      <c r="AB18" s="416">
        <f>(Data!Z15+Data!CM15)/AB$6*100000*AB$3</f>
        <v>6736.5989798864402</v>
      </c>
      <c r="AC18" s="416">
        <f>(Data!AA15+Data!CN15)/AC$6*100000*AC$3</f>
        <v>18650.751358840458</v>
      </c>
      <c r="AD18" s="416">
        <f>(Data!AB15+Data!CO15)/AD$6*100000*AD$3</f>
        <v>8441.2326075436486</v>
      </c>
      <c r="AE18" s="416">
        <f>(Data!AC15+Data!CP15)/AE$6*100000*AE$3</f>
        <v>17580.975040875768</v>
      </c>
      <c r="AF18" s="416">
        <f>(Data!AD15+Data!CQ15)/AF$6*100000*AF$3</f>
        <v>33044.424097646268</v>
      </c>
      <c r="AG18" s="416">
        <f>(Data!AE15+Data!CR15)/AG$6*100000*AG$3</f>
        <v>6842.4934045966347</v>
      </c>
      <c r="AH18" s="416">
        <f>(Data!AF15+Data!CS15)/AH$6*100000*AH$3</f>
        <v>21569.782394079921</v>
      </c>
      <c r="AI18" s="416">
        <f>(Data!AG15+Data!CT15)/AI$6*100000*AI$3</f>
        <v>12800.819252432157</v>
      </c>
      <c r="AJ18" s="416">
        <f>(Data!AH15+Data!CU15)/AJ$6*100000*AJ$3</f>
        <v>21685.589925494507</v>
      </c>
      <c r="AK18" s="424" t="s">
        <v>353</v>
      </c>
      <c r="AL18" s="416">
        <f t="shared" si="4"/>
        <v>110546.0960933941</v>
      </c>
      <c r="AM18" s="416">
        <f>(Data!Q15+Data!CD15)/AM$6*100000*AM$3</f>
        <v>7947.8620251152443</v>
      </c>
      <c r="AN18" s="416">
        <f>(Data!R15+Data!CE15)/AN$6*100000*AN$3</f>
        <v>0</v>
      </c>
      <c r="AO18" s="416">
        <f>(Data!S15+Data!CF15)/AO$6*100000*AO$3</f>
        <v>0</v>
      </c>
      <c r="AP18" s="416">
        <f>(Data!T15+Data!CG15)/AP$6*100000*AP$3</f>
        <v>0</v>
      </c>
      <c r="AQ18" s="416">
        <f>(Data!U15+Data!CH15)/AQ$6*100000*AQ$3</f>
        <v>0</v>
      </c>
      <c r="AR18" s="416">
        <f>(Data!V15+Data!CI15)/AR$6*100000*AR$3</f>
        <v>0</v>
      </c>
      <c r="AS18" s="416">
        <f>(Data!W15+Data!CJ15)/AS$6*100000*AS$3</f>
        <v>0</v>
      </c>
      <c r="AT18" s="416">
        <f>(Data!X15+Data!CK15)/AT$6*100000*AT$3</f>
        <v>3402.286336418073</v>
      </c>
      <c r="AU18" s="416">
        <f>(Data!Y15+Data!CL15)/AU$6*100000*AU$3</f>
        <v>3034.4102118018322</v>
      </c>
      <c r="AV18" s="416">
        <f>(Data!Z15+Data!CM15)/AV$6*100000*AV$3</f>
        <v>5774.2276970455196</v>
      </c>
      <c r="AW18" s="416">
        <f>(Data!AA15+Data!CN15)/AW$6*100000*AW$3</f>
        <v>13321.965256314612</v>
      </c>
      <c r="AX18" s="416">
        <f>(Data!AB15+Data!CO15)/AX$6*100000*AX$3</f>
        <v>5627.4884050290984</v>
      </c>
      <c r="AY18" s="416">
        <f>(Data!AC15+Data!CP15)/AY$6*100000*AY$3</f>
        <v>14064.780032700615</v>
      </c>
      <c r="AZ18" s="416">
        <f>(Data!AD15+Data!CQ15)/AZ$6*100000*AZ$3</f>
        <v>24783.318073234703</v>
      </c>
      <c r="BA18" s="416">
        <f>(Data!AE15+Data!CR15)/BA$6*100000*BA$3</f>
        <v>4561.6622697310904</v>
      </c>
      <c r="BB18" s="416">
        <f>(Data!AF15+Data!CS15)/BB$6*100000*BB$3</f>
        <v>10784.89119703996</v>
      </c>
      <c r="BC18" s="416">
        <f>(Data!AG15+Data!CT15)/BC$6*100000*BC$3</f>
        <v>6400.4096262160783</v>
      </c>
      <c r="BD18" s="416">
        <f>(Data!AH15+Data!CU15)/BD$6*100000*BD$3</f>
        <v>10842.794962747254</v>
      </c>
      <c r="BE18" s="411"/>
      <c r="BF18" s="411"/>
      <c r="BG18" s="411"/>
      <c r="BH18" s="411"/>
      <c r="BI18" s="411"/>
      <c r="BJ18" s="411"/>
      <c r="BK18" s="411"/>
      <c r="BL18" s="411"/>
      <c r="BM18" s="411"/>
      <c r="BN18" s="411"/>
      <c r="BO18" s="411"/>
      <c r="BP18" s="411"/>
      <c r="BQ18" s="411"/>
      <c r="BR18" s="411"/>
      <c r="BS18" s="411"/>
      <c r="BT18" s="411"/>
      <c r="BU18" s="411"/>
      <c r="BV18" s="411"/>
      <c r="BW18" s="411"/>
      <c r="BX18" s="411"/>
      <c r="BY18" s="411"/>
      <c r="BZ18" s="411"/>
      <c r="CA18" s="411"/>
      <c r="CB18" s="411"/>
      <c r="CC18" s="411"/>
      <c r="CD18" s="411"/>
      <c r="CE18" s="411"/>
      <c r="CF18" s="411"/>
      <c r="CG18" s="411"/>
      <c r="CH18" s="411"/>
      <c r="CI18" s="411"/>
      <c r="CJ18" s="411"/>
      <c r="CK18" s="411"/>
      <c r="CL18" s="411"/>
      <c r="CM18" s="411"/>
      <c r="CN18" s="411"/>
      <c r="CO18" s="411"/>
      <c r="CP18" s="411"/>
      <c r="CQ18" s="411"/>
      <c r="CR18" s="411"/>
      <c r="CS18" s="411"/>
      <c r="CT18" s="411"/>
      <c r="CU18" s="411"/>
      <c r="CV18" s="411"/>
      <c r="CW18" s="411"/>
      <c r="CX18" s="411"/>
      <c r="CY18" s="411"/>
      <c r="CZ18" s="411"/>
      <c r="DA18" s="411"/>
      <c r="DB18" s="411"/>
      <c r="DC18" s="411"/>
      <c r="DD18" s="411"/>
      <c r="DE18" s="411"/>
      <c r="DF18" s="411"/>
      <c r="DG18" s="411"/>
      <c r="DH18" s="411"/>
      <c r="DI18" s="411"/>
      <c r="DJ18" s="411"/>
      <c r="DK18" s="411"/>
      <c r="DL18" s="411"/>
      <c r="DM18" s="411"/>
      <c r="DN18" s="411"/>
      <c r="DO18" s="411"/>
      <c r="DP18" s="411"/>
      <c r="DQ18" s="411"/>
      <c r="DR18" s="411"/>
      <c r="DS18" s="411"/>
      <c r="DT18" s="411"/>
      <c r="DU18" s="411"/>
      <c r="DV18" s="411"/>
      <c r="DW18" s="411"/>
      <c r="DX18" s="411"/>
      <c r="DY18" s="411"/>
      <c r="DZ18" s="411"/>
      <c r="EA18" s="411"/>
      <c r="EB18" s="411"/>
      <c r="EC18" s="411"/>
      <c r="ED18" s="411"/>
      <c r="EE18" s="411"/>
      <c r="EF18" s="411"/>
      <c r="EG18" s="411"/>
    </row>
    <row r="19" spans="1:137" s="352" customFormat="1" ht="12" customHeight="1">
      <c r="A19" s="276"/>
      <c r="B19" s="283" t="str">
        <f>UPPER(LEFT(TRIM(Data!B16),1)) &amp; MID(TRIM(Data!B16),2,50)</f>
        <v>Nosies ertmės, vid.ausies ir ančių</v>
      </c>
      <c r="C19" s="283" t="str">
        <f>Data!C16</f>
        <v>C30, C31</v>
      </c>
      <c r="D19" s="284">
        <f>Data!D16+Data!BQ16</f>
        <v>19</v>
      </c>
      <c r="E19" s="285">
        <f t="shared" si="5"/>
        <v>0.65406501406239781</v>
      </c>
      <c r="F19" s="286">
        <f t="shared" si="6"/>
        <v>0.50629784020122304</v>
      </c>
      <c r="G19" s="286">
        <f t="shared" si="7"/>
        <v>0.37813482205862792</v>
      </c>
      <c r="H19" s="281"/>
      <c r="I19" s="281"/>
      <c r="J19" s="281"/>
      <c r="K19" s="281"/>
      <c r="L19" s="281"/>
      <c r="M19" s="281"/>
      <c r="N19" s="281"/>
      <c r="O19" s="280"/>
      <c r="P19" s="360"/>
      <c r="Q19" s="424" t="s">
        <v>353</v>
      </c>
      <c r="R19" s="416">
        <f t="shared" si="3"/>
        <v>50629.784020122301</v>
      </c>
      <c r="S19" s="416">
        <f>(Data!Q16+Data!CD16)/S$6*100000*S$3</f>
        <v>0</v>
      </c>
      <c r="T19" s="416">
        <f>(Data!R16+Data!CE16)/T$6*100000*T$3</f>
        <v>0</v>
      </c>
      <c r="U19" s="416">
        <f>(Data!S16+Data!CF16)/U$6*100000*U$3</f>
        <v>0</v>
      </c>
      <c r="V19" s="416">
        <f>(Data!T16+Data!CG16)/V$6*100000*V$3</f>
        <v>0</v>
      </c>
      <c r="W19" s="416">
        <f>(Data!U16+Data!CH16)/W$6*100000*W$3</f>
        <v>0</v>
      </c>
      <c r="X19" s="416">
        <f>(Data!V16+Data!CI16)/X$6*100000*X$3</f>
        <v>0</v>
      </c>
      <c r="Y19" s="416">
        <f>(Data!W16+Data!CJ16)/Y$6*100000*Y$3</f>
        <v>3930.1334561032168</v>
      </c>
      <c r="Z19" s="416">
        <f>(Data!X16+Data!CK16)/Z$6*100000*Z$3</f>
        <v>0</v>
      </c>
      <c r="AA19" s="416">
        <f>(Data!Y16+Data!CL16)/AA$6*100000*AA$3</f>
        <v>3540.1452471021375</v>
      </c>
      <c r="AB19" s="416">
        <f>(Data!Z16+Data!CM16)/AB$6*100000*AB$3</f>
        <v>3368.2994899432201</v>
      </c>
      <c r="AC19" s="416">
        <f>(Data!AA16+Data!CN16)/AC$6*100000*AC$3</f>
        <v>0</v>
      </c>
      <c r="AD19" s="416">
        <f>(Data!AB16+Data!CO16)/AD$6*100000*AD$3</f>
        <v>8441.2326075436486</v>
      </c>
      <c r="AE19" s="416">
        <f>(Data!AC16+Data!CP16)/AE$6*100000*AE$3</f>
        <v>14650.81253406314</v>
      </c>
      <c r="AF19" s="416">
        <f>(Data!AD16+Data!CQ16)/AF$6*100000*AF$3</f>
        <v>8261.106024411567</v>
      </c>
      <c r="AG19" s="416">
        <f>(Data!AE16+Data!CR16)/AG$6*100000*AG$3</f>
        <v>4561.6622697310904</v>
      </c>
      <c r="AH19" s="416">
        <f>(Data!AF16+Data!CS16)/AH$6*100000*AH$3</f>
        <v>0</v>
      </c>
      <c r="AI19" s="416">
        <f>(Data!AG16+Data!CT16)/AI$6*100000*AI$3</f>
        <v>2327.4216822603921</v>
      </c>
      <c r="AJ19" s="416">
        <f>(Data!AH16+Data!CU16)/AJ$6*100000*AJ$3</f>
        <v>1548.9707089638935</v>
      </c>
      <c r="AK19" s="424" t="s">
        <v>353</v>
      </c>
      <c r="AL19" s="416">
        <f t="shared" si="4"/>
        <v>37813.482205862791</v>
      </c>
      <c r="AM19" s="416">
        <f>(Data!Q16+Data!CD16)/AM$6*100000*AM$3</f>
        <v>0</v>
      </c>
      <c r="AN19" s="416">
        <f>(Data!R16+Data!CE16)/AN$6*100000*AN$3</f>
        <v>0</v>
      </c>
      <c r="AO19" s="416">
        <f>(Data!S16+Data!CF16)/AO$6*100000*AO$3</f>
        <v>0</v>
      </c>
      <c r="AP19" s="416">
        <f>(Data!T16+Data!CG16)/AP$6*100000*AP$3</f>
        <v>0</v>
      </c>
      <c r="AQ19" s="416">
        <f>(Data!U16+Data!CH16)/AQ$6*100000*AQ$3</f>
        <v>0</v>
      </c>
      <c r="AR19" s="416">
        <f>(Data!V16+Data!CI16)/AR$6*100000*AR$3</f>
        <v>0</v>
      </c>
      <c r="AS19" s="416">
        <f>(Data!W16+Data!CJ16)/AS$6*100000*AS$3</f>
        <v>3368.685819517043</v>
      </c>
      <c r="AT19" s="416">
        <f>(Data!X16+Data!CK16)/AT$6*100000*AT$3</f>
        <v>0</v>
      </c>
      <c r="AU19" s="416">
        <f>(Data!Y16+Data!CL16)/AU$6*100000*AU$3</f>
        <v>3034.4102118018322</v>
      </c>
      <c r="AV19" s="416">
        <f>(Data!Z16+Data!CM16)/AV$6*100000*AV$3</f>
        <v>2887.1138485227598</v>
      </c>
      <c r="AW19" s="416">
        <f>(Data!AA16+Data!CN16)/AW$6*100000*AW$3</f>
        <v>0</v>
      </c>
      <c r="AX19" s="416">
        <f>(Data!AB16+Data!CO16)/AX$6*100000*AX$3</f>
        <v>5627.4884050290984</v>
      </c>
      <c r="AY19" s="416">
        <f>(Data!AC16+Data!CP16)/AY$6*100000*AY$3</f>
        <v>11720.650027250513</v>
      </c>
      <c r="AZ19" s="416">
        <f>(Data!AD16+Data!CQ16)/AZ$6*100000*AZ$3</f>
        <v>6195.8295183086757</v>
      </c>
      <c r="BA19" s="416">
        <f>(Data!AE16+Data!CR16)/BA$6*100000*BA$3</f>
        <v>3041.1081798207265</v>
      </c>
      <c r="BB19" s="416">
        <f>(Data!AF16+Data!CS16)/BB$6*100000*BB$3</f>
        <v>0</v>
      </c>
      <c r="BC19" s="416">
        <f>(Data!AG16+Data!CT16)/BC$6*100000*BC$3</f>
        <v>1163.7108411301961</v>
      </c>
      <c r="BD19" s="416">
        <f>(Data!AH16+Data!CU16)/BD$6*100000*BD$3</f>
        <v>774.48535448194673</v>
      </c>
      <c r="BE19" s="411"/>
      <c r="BF19" s="411"/>
      <c r="BG19" s="411"/>
      <c r="BH19" s="411"/>
      <c r="BI19" s="411"/>
      <c r="BJ19" s="411"/>
      <c r="BK19" s="411"/>
      <c r="BL19" s="411"/>
      <c r="BM19" s="411"/>
      <c r="BN19" s="411"/>
      <c r="BO19" s="411"/>
      <c r="BP19" s="411"/>
      <c r="BQ19" s="411"/>
      <c r="BR19" s="411"/>
      <c r="BS19" s="411"/>
      <c r="BT19" s="411"/>
      <c r="BU19" s="411"/>
      <c r="BV19" s="411"/>
      <c r="BW19" s="411"/>
      <c r="BX19" s="411"/>
      <c r="BY19" s="411"/>
      <c r="BZ19" s="411"/>
      <c r="CA19" s="411"/>
      <c r="CB19" s="411"/>
      <c r="CC19" s="411"/>
      <c r="CD19" s="411"/>
      <c r="CE19" s="411"/>
      <c r="CF19" s="411"/>
      <c r="CG19" s="411"/>
      <c r="CH19" s="411"/>
      <c r="CI19" s="411"/>
      <c r="CJ19" s="411"/>
      <c r="CK19" s="411"/>
      <c r="CL19" s="411"/>
      <c r="CM19" s="411"/>
      <c r="CN19" s="411"/>
      <c r="CO19" s="411"/>
      <c r="CP19" s="411"/>
      <c r="CQ19" s="411"/>
      <c r="CR19" s="411"/>
      <c r="CS19" s="411"/>
      <c r="CT19" s="411"/>
      <c r="CU19" s="411"/>
      <c r="CV19" s="411"/>
      <c r="CW19" s="411"/>
      <c r="CX19" s="411"/>
      <c r="CY19" s="411"/>
      <c r="CZ19" s="411"/>
      <c r="DA19" s="411"/>
      <c r="DB19" s="411"/>
      <c r="DC19" s="411"/>
      <c r="DD19" s="411"/>
      <c r="DE19" s="411"/>
      <c r="DF19" s="411"/>
      <c r="DG19" s="411"/>
      <c r="DH19" s="411"/>
      <c r="DI19" s="411"/>
      <c r="DJ19" s="411"/>
      <c r="DK19" s="411"/>
      <c r="DL19" s="411"/>
      <c r="DM19" s="411"/>
      <c r="DN19" s="411"/>
      <c r="DO19" s="411"/>
      <c r="DP19" s="411"/>
      <c r="DQ19" s="411"/>
      <c r="DR19" s="411"/>
      <c r="DS19" s="411"/>
      <c r="DT19" s="411"/>
      <c r="DU19" s="411"/>
      <c r="DV19" s="411"/>
      <c r="DW19" s="411"/>
      <c r="DX19" s="411"/>
      <c r="DY19" s="411"/>
      <c r="DZ19" s="411"/>
      <c r="EA19" s="411"/>
      <c r="EB19" s="411"/>
      <c r="EC19" s="411"/>
      <c r="ED19" s="411"/>
      <c r="EE19" s="411"/>
      <c r="EF19" s="411"/>
      <c r="EG19" s="411"/>
    </row>
    <row r="20" spans="1:137" s="352" customFormat="1" ht="12" customHeight="1">
      <c r="A20" s="276"/>
      <c r="B20" s="129" t="str">
        <f>UPPER(LEFT(TRIM(Data!B17),1)) &amp; MID(TRIM(Data!B17),2,50)</f>
        <v>Gerklų</v>
      </c>
      <c r="C20" s="129" t="str">
        <f>Data!C17</f>
        <v>C32</v>
      </c>
      <c r="D20" s="130">
        <f>Data!D17+Data!BQ17</f>
        <v>178</v>
      </c>
      <c r="E20" s="131">
        <f t="shared" si="5"/>
        <v>6.127556447531938</v>
      </c>
      <c r="F20" s="132">
        <f t="shared" si="6"/>
        <v>4.6950647532132175</v>
      </c>
      <c r="G20" s="133">
        <f t="shared" si="7"/>
        <v>3.3872807067378417</v>
      </c>
      <c r="H20" s="281"/>
      <c r="I20" s="281"/>
      <c r="J20" s="281"/>
      <c r="K20" s="281"/>
      <c r="L20" s="281"/>
      <c r="M20" s="281"/>
      <c r="N20" s="281"/>
      <c r="O20" s="280"/>
      <c r="P20" s="360"/>
      <c r="Q20" s="424" t="s">
        <v>353</v>
      </c>
      <c r="R20" s="416">
        <f t="shared" si="3"/>
        <v>469506.47532132175</v>
      </c>
      <c r="S20" s="416">
        <f>(Data!Q17+Data!CD17)/S$6*100000*S$3</f>
        <v>0</v>
      </c>
      <c r="T20" s="416">
        <f>(Data!R17+Data!CE17)/T$6*100000*T$3</f>
        <v>0</v>
      </c>
      <c r="U20" s="416">
        <f>(Data!S17+Data!CF17)/U$6*100000*U$3</f>
        <v>0</v>
      </c>
      <c r="V20" s="416">
        <f>(Data!T17+Data!CG17)/V$6*100000*V$3</f>
        <v>0</v>
      </c>
      <c r="W20" s="416">
        <f>(Data!U17+Data!CH17)/W$6*100000*W$3</f>
        <v>3473.6868223209194</v>
      </c>
      <c r="X20" s="416">
        <f>(Data!V17+Data!CI17)/X$6*100000*X$3</f>
        <v>0</v>
      </c>
      <c r="Y20" s="416">
        <f>(Data!W17+Data!CJ17)/Y$6*100000*Y$3</f>
        <v>0</v>
      </c>
      <c r="Z20" s="416">
        <f>(Data!X17+Data!CK17)/Z$6*100000*Z$3</f>
        <v>0</v>
      </c>
      <c r="AA20" s="416">
        <f>(Data!Y17+Data!CL17)/AA$6*100000*AA$3</f>
        <v>21240.871482612831</v>
      </c>
      <c r="AB20" s="416">
        <f>(Data!Z17+Data!CM17)/AB$6*100000*AB$3</f>
        <v>16841.497449716102</v>
      </c>
      <c r="AC20" s="416">
        <f>(Data!AA17+Data!CN17)/AC$6*100000*AC$3</f>
        <v>77711.463995168568</v>
      </c>
      <c r="AD20" s="416">
        <f>(Data!AB17+Data!CO17)/AD$6*100000*AD$3</f>
        <v>78784.837670407374</v>
      </c>
      <c r="AE20" s="416">
        <f>(Data!AC17+Data!CP17)/AE$6*100000*AE$3</f>
        <v>93765.200218004102</v>
      </c>
      <c r="AF20" s="416">
        <f>(Data!AD17+Data!CQ17)/AF$6*100000*AF$3</f>
        <v>79857.358235978492</v>
      </c>
      <c r="AG20" s="416">
        <f>(Data!AE17+Data!CR17)/AG$6*100000*AG$3</f>
        <v>61582.440641369714</v>
      </c>
      <c r="AH20" s="416">
        <f>(Data!AF17+Data!CS17)/AH$6*100000*AH$3</f>
        <v>14932.926272824561</v>
      </c>
      <c r="AI20" s="416">
        <f>(Data!AG17+Data!CT17)/AI$6*100000*AI$3</f>
        <v>10473.397570171765</v>
      </c>
      <c r="AJ20" s="416">
        <f>(Data!AH17+Data!CU17)/AJ$6*100000*AJ$3</f>
        <v>10842.794962747254</v>
      </c>
      <c r="AK20" s="424" t="s">
        <v>353</v>
      </c>
      <c r="AL20" s="416">
        <f t="shared" si="4"/>
        <v>338728.07067378418</v>
      </c>
      <c r="AM20" s="416">
        <f>(Data!Q17+Data!CD17)/AM$6*100000*AM$3</f>
        <v>0</v>
      </c>
      <c r="AN20" s="416">
        <f>(Data!R17+Data!CE17)/AN$6*100000*AN$3</f>
        <v>0</v>
      </c>
      <c r="AO20" s="416">
        <f>(Data!S17+Data!CF17)/AO$6*100000*AO$3</f>
        <v>0</v>
      </c>
      <c r="AP20" s="416">
        <f>(Data!T17+Data!CG17)/AP$6*100000*AP$3</f>
        <v>0</v>
      </c>
      <c r="AQ20" s="416">
        <f>(Data!U17+Data!CH17)/AQ$6*100000*AQ$3</f>
        <v>3969.9277969381933</v>
      </c>
      <c r="AR20" s="416">
        <f>(Data!V17+Data!CI17)/AR$6*100000*AR$3</f>
        <v>0</v>
      </c>
      <c r="AS20" s="416">
        <f>(Data!W17+Data!CJ17)/AS$6*100000*AS$3</f>
        <v>0</v>
      </c>
      <c r="AT20" s="416">
        <f>(Data!X17+Data!CK17)/AT$6*100000*AT$3</f>
        <v>0</v>
      </c>
      <c r="AU20" s="416">
        <f>(Data!Y17+Data!CL17)/AU$6*100000*AU$3</f>
        <v>18206.461270810996</v>
      </c>
      <c r="AV20" s="416">
        <f>(Data!Z17+Data!CM17)/AV$6*100000*AV$3</f>
        <v>14435.569242613799</v>
      </c>
      <c r="AW20" s="416">
        <f>(Data!AA17+Data!CN17)/AW$6*100000*AW$3</f>
        <v>55508.188567977551</v>
      </c>
      <c r="AX20" s="416">
        <f>(Data!AB17+Data!CO17)/AX$6*100000*AX$3</f>
        <v>52523.225113604916</v>
      </c>
      <c r="AY20" s="416">
        <f>(Data!AC17+Data!CP17)/AY$6*100000*AY$3</f>
        <v>75012.160174403281</v>
      </c>
      <c r="AZ20" s="416">
        <f>(Data!AD17+Data!CQ17)/AZ$6*100000*AZ$3</f>
        <v>59893.018676983869</v>
      </c>
      <c r="BA20" s="416">
        <f>(Data!AE17+Data!CR17)/BA$6*100000*BA$3</f>
        <v>41054.960427579805</v>
      </c>
      <c r="BB20" s="416">
        <f>(Data!AF17+Data!CS17)/BB$6*100000*BB$3</f>
        <v>7466.4631364122806</v>
      </c>
      <c r="BC20" s="416">
        <f>(Data!AG17+Data!CT17)/BC$6*100000*BC$3</f>
        <v>5236.6987850858823</v>
      </c>
      <c r="BD20" s="416">
        <f>(Data!AH17+Data!CU17)/BD$6*100000*BD$3</f>
        <v>5421.3974813736268</v>
      </c>
      <c r="BE20" s="411"/>
      <c r="BF20" s="411"/>
      <c r="BG20" s="411"/>
      <c r="BH20" s="411"/>
      <c r="BI20" s="411"/>
      <c r="BJ20" s="411"/>
      <c r="BK20" s="411"/>
      <c r="BL20" s="411"/>
      <c r="BM20" s="411"/>
      <c r="BN20" s="411"/>
      <c r="BO20" s="411"/>
      <c r="BP20" s="411"/>
      <c r="BQ20" s="411"/>
      <c r="BR20" s="411"/>
      <c r="BS20" s="411"/>
      <c r="BT20" s="411"/>
      <c r="BU20" s="411"/>
      <c r="BV20" s="411"/>
      <c r="BW20" s="411"/>
      <c r="BX20" s="411"/>
      <c r="BY20" s="411"/>
      <c r="BZ20" s="411"/>
      <c r="CA20" s="411"/>
      <c r="CB20" s="411"/>
      <c r="CC20" s="411"/>
      <c r="CD20" s="411"/>
      <c r="CE20" s="411"/>
      <c r="CF20" s="411"/>
      <c r="CG20" s="411"/>
      <c r="CH20" s="411"/>
      <c r="CI20" s="411"/>
      <c r="CJ20" s="411"/>
      <c r="CK20" s="411"/>
      <c r="CL20" s="411"/>
      <c r="CM20" s="411"/>
      <c r="CN20" s="411"/>
      <c r="CO20" s="411"/>
      <c r="CP20" s="411"/>
      <c r="CQ20" s="411"/>
      <c r="CR20" s="411"/>
      <c r="CS20" s="411"/>
      <c r="CT20" s="411"/>
      <c r="CU20" s="411"/>
      <c r="CV20" s="411"/>
      <c r="CW20" s="411"/>
      <c r="CX20" s="411"/>
      <c r="CY20" s="411"/>
      <c r="CZ20" s="411"/>
      <c r="DA20" s="411"/>
      <c r="DB20" s="411"/>
      <c r="DC20" s="411"/>
      <c r="DD20" s="411"/>
      <c r="DE20" s="411"/>
      <c r="DF20" s="411"/>
      <c r="DG20" s="411"/>
      <c r="DH20" s="411"/>
      <c r="DI20" s="411"/>
      <c r="DJ20" s="411"/>
      <c r="DK20" s="411"/>
      <c r="DL20" s="411"/>
      <c r="DM20" s="411"/>
      <c r="DN20" s="411"/>
      <c r="DO20" s="411"/>
      <c r="DP20" s="411"/>
      <c r="DQ20" s="411"/>
      <c r="DR20" s="411"/>
      <c r="DS20" s="411"/>
      <c r="DT20" s="411"/>
      <c r="DU20" s="411"/>
      <c r="DV20" s="411"/>
      <c r="DW20" s="411"/>
      <c r="DX20" s="411"/>
      <c r="DY20" s="411"/>
      <c r="DZ20" s="411"/>
      <c r="EA20" s="411"/>
      <c r="EB20" s="411"/>
      <c r="EC20" s="411"/>
      <c r="ED20" s="411"/>
      <c r="EE20" s="411"/>
      <c r="EF20" s="411"/>
      <c r="EG20" s="411"/>
    </row>
    <row r="21" spans="1:137" s="352" customFormat="1" ht="12" customHeight="1">
      <c r="A21" s="276"/>
      <c r="B21" s="283" t="str">
        <f>UPPER(LEFT(TRIM(Data!B18),1)) &amp; MID(TRIM(Data!B18),2,50)</f>
        <v>Plaučių, trachėjos, bronchų</v>
      </c>
      <c r="C21" s="283" t="str">
        <f>Data!C18</f>
        <v>C33, C34</v>
      </c>
      <c r="D21" s="284">
        <f>Data!D18+Data!BQ18</f>
        <v>1501</v>
      </c>
      <c r="E21" s="285">
        <f t="shared" si="5"/>
        <v>51.671136110929424</v>
      </c>
      <c r="F21" s="286">
        <f t="shared" si="6"/>
        <v>35.762097179056667</v>
      </c>
      <c r="G21" s="286">
        <f t="shared" si="7"/>
        <v>24.792644305970381</v>
      </c>
      <c r="H21" s="281"/>
      <c r="I21" s="281"/>
      <c r="J21" s="281"/>
      <c r="K21" s="281"/>
      <c r="L21" s="281"/>
      <c r="M21" s="281"/>
      <c r="N21" s="281"/>
      <c r="O21" s="280"/>
      <c r="P21" s="360"/>
      <c r="Q21" s="424" t="s">
        <v>353</v>
      </c>
      <c r="R21" s="416">
        <f t="shared" si="3"/>
        <v>3576209.7179056667</v>
      </c>
      <c r="S21" s="416">
        <f>(Data!Q18+Data!CD18)/S$6*100000*S$3</f>
        <v>5298.5746834101628</v>
      </c>
      <c r="T21" s="416">
        <f>(Data!R18+Data!CE18)/T$6*100000*T$3</f>
        <v>0</v>
      </c>
      <c r="U21" s="416">
        <f>(Data!S18+Data!CF18)/U$6*100000*U$3</f>
        <v>0</v>
      </c>
      <c r="V21" s="416">
        <f>(Data!T18+Data!CG18)/V$6*100000*V$3</f>
        <v>0</v>
      </c>
      <c r="W21" s="416">
        <f>(Data!U18+Data!CH18)/W$6*100000*W$3</f>
        <v>0</v>
      </c>
      <c r="X21" s="416">
        <f>(Data!V18+Data!CI18)/X$6*100000*X$3</f>
        <v>7156.915369475757</v>
      </c>
      <c r="Y21" s="416">
        <f>(Data!W18+Data!CJ18)/Y$6*100000*Y$3</f>
        <v>3930.1334561032168</v>
      </c>
      <c r="Z21" s="416">
        <f>(Data!X18+Data!CK18)/Z$6*100000*Z$3</f>
        <v>27785.338414080928</v>
      </c>
      <c r="AA21" s="416">
        <f>(Data!Y18+Data!CL18)/AA$6*100000*AA$3</f>
        <v>67262.759694940629</v>
      </c>
      <c r="AB21" s="416">
        <f>(Data!Z18+Data!CM18)/AB$6*100000*AB$3</f>
        <v>94312.385718410165</v>
      </c>
      <c r="AC21" s="416">
        <f>(Data!AA18+Data!CN18)/AC$6*100000*AC$3</f>
        <v>307737.39742086752</v>
      </c>
      <c r="AD21" s="416">
        <f>(Data!AB18+Data!CO18)/AD$6*100000*AD$3</f>
        <v>500846.4680475897</v>
      </c>
      <c r="AE21" s="416">
        <f>(Data!AC18+Data!CP18)/AE$6*100000*AE$3</f>
        <v>653426.23901921604</v>
      </c>
      <c r="AF21" s="416">
        <f>(Data!AD18+Data!CQ18)/AF$6*100000*AF$3</f>
        <v>702194.01207498333</v>
      </c>
      <c r="AG21" s="416">
        <f>(Data!AE18+Data!CR18)/AG$6*100000*AG$3</f>
        <v>547399.47236773081</v>
      </c>
      <c r="AH21" s="416">
        <f>(Data!AF18+Data!CS18)/AH$6*100000*AH$3</f>
        <v>341798.09024465107</v>
      </c>
      <c r="AI21" s="416">
        <f>(Data!AG18+Data!CT18)/AI$6*100000*AI$3</f>
        <v>174556.62616952939</v>
      </c>
      <c r="AJ21" s="416">
        <f>(Data!AH18+Data!CU18)/AJ$6*100000*AJ$3</f>
        <v>142505.30522467822</v>
      </c>
      <c r="AK21" s="424" t="s">
        <v>353</v>
      </c>
      <c r="AL21" s="416">
        <f t="shared" si="4"/>
        <v>2479264.430597038</v>
      </c>
      <c r="AM21" s="416">
        <f>(Data!Q18+Data!CD18)/AM$6*100000*AM$3</f>
        <v>7947.8620251152443</v>
      </c>
      <c r="AN21" s="416">
        <f>(Data!R18+Data!CE18)/AN$6*100000*AN$3</f>
        <v>0</v>
      </c>
      <c r="AO21" s="416">
        <f>(Data!S18+Data!CF18)/AO$6*100000*AO$3</f>
        <v>0</v>
      </c>
      <c r="AP21" s="416">
        <f>(Data!T18+Data!CG18)/AP$6*100000*AP$3</f>
        <v>0</v>
      </c>
      <c r="AQ21" s="416">
        <f>(Data!U18+Data!CH18)/AQ$6*100000*AQ$3</f>
        <v>0</v>
      </c>
      <c r="AR21" s="416">
        <f>(Data!V18+Data!CI18)/AR$6*100000*AR$3</f>
        <v>8179.3318508294369</v>
      </c>
      <c r="AS21" s="416">
        <f>(Data!W18+Data!CJ18)/AS$6*100000*AS$3</f>
        <v>3368.685819517043</v>
      </c>
      <c r="AT21" s="416">
        <f>(Data!X18+Data!CK18)/AT$6*100000*AT$3</f>
        <v>23816.00435492651</v>
      </c>
      <c r="AU21" s="416">
        <f>(Data!Y18+Data!CL18)/AU$6*100000*AU$3</f>
        <v>57653.794024234834</v>
      </c>
      <c r="AV21" s="416">
        <f>(Data!Z18+Data!CM18)/AV$6*100000*AV$3</f>
        <v>80839.187758637287</v>
      </c>
      <c r="AW21" s="416">
        <f>(Data!AA18+Data!CN18)/AW$6*100000*AW$3</f>
        <v>219812.42672919109</v>
      </c>
      <c r="AX21" s="416">
        <f>(Data!AB18+Data!CO18)/AX$6*100000*AX$3</f>
        <v>333897.64536505984</v>
      </c>
      <c r="AY21" s="416">
        <f>(Data!AC18+Data!CP18)/AY$6*100000*AY$3</f>
        <v>522740.99121537281</v>
      </c>
      <c r="AZ21" s="416">
        <f>(Data!AD18+Data!CQ18)/AZ$6*100000*AZ$3</f>
        <v>526645.50905623753</v>
      </c>
      <c r="BA21" s="416">
        <f>(Data!AE18+Data!CR18)/BA$6*100000*BA$3</f>
        <v>364932.9815784872</v>
      </c>
      <c r="BB21" s="416">
        <f>(Data!AF18+Data!CS18)/BB$6*100000*BB$3</f>
        <v>170899.04512232554</v>
      </c>
      <c r="BC21" s="416">
        <f>(Data!AG18+Data!CT18)/BC$6*100000*BC$3</f>
        <v>87278.313084764697</v>
      </c>
      <c r="BD21" s="416">
        <f>(Data!AH18+Data!CU18)/BD$6*100000*BD$3</f>
        <v>71252.652612339109</v>
      </c>
      <c r="BE21" s="411"/>
      <c r="BF21" s="411"/>
      <c r="BG21" s="411"/>
      <c r="BH21" s="411"/>
      <c r="BI21" s="411"/>
      <c r="BJ21" s="411"/>
      <c r="BK21" s="411"/>
      <c r="BL21" s="411"/>
      <c r="BM21" s="411"/>
      <c r="BN21" s="411"/>
      <c r="BO21" s="411"/>
      <c r="BP21" s="411"/>
      <c r="BQ21" s="411"/>
      <c r="BR21" s="411"/>
      <c r="BS21" s="411"/>
      <c r="BT21" s="411"/>
      <c r="BU21" s="411"/>
      <c r="BV21" s="411"/>
      <c r="BW21" s="411"/>
      <c r="BX21" s="411"/>
      <c r="BY21" s="411"/>
      <c r="BZ21" s="411"/>
      <c r="CA21" s="411"/>
      <c r="CB21" s="411"/>
      <c r="CC21" s="411"/>
      <c r="CD21" s="411"/>
      <c r="CE21" s="411"/>
      <c r="CF21" s="411"/>
      <c r="CG21" s="411"/>
      <c r="CH21" s="411"/>
      <c r="CI21" s="411"/>
      <c r="CJ21" s="411"/>
      <c r="CK21" s="411"/>
      <c r="CL21" s="411"/>
      <c r="CM21" s="411"/>
      <c r="CN21" s="411"/>
      <c r="CO21" s="411"/>
      <c r="CP21" s="411"/>
      <c r="CQ21" s="411"/>
      <c r="CR21" s="411"/>
      <c r="CS21" s="411"/>
      <c r="CT21" s="411"/>
      <c r="CU21" s="411"/>
      <c r="CV21" s="411"/>
      <c r="CW21" s="411"/>
      <c r="CX21" s="411"/>
      <c r="CY21" s="411"/>
      <c r="CZ21" s="411"/>
      <c r="DA21" s="411"/>
      <c r="DB21" s="411"/>
      <c r="DC21" s="411"/>
      <c r="DD21" s="411"/>
      <c r="DE21" s="411"/>
      <c r="DF21" s="411"/>
      <c r="DG21" s="411"/>
      <c r="DH21" s="411"/>
      <c r="DI21" s="411"/>
      <c r="DJ21" s="411"/>
      <c r="DK21" s="411"/>
      <c r="DL21" s="411"/>
      <c r="DM21" s="411"/>
      <c r="DN21" s="411"/>
      <c r="DO21" s="411"/>
      <c r="DP21" s="411"/>
      <c r="DQ21" s="411"/>
      <c r="DR21" s="411"/>
      <c r="DS21" s="411"/>
      <c r="DT21" s="411"/>
      <c r="DU21" s="411"/>
      <c r="DV21" s="411"/>
      <c r="DW21" s="411"/>
      <c r="DX21" s="411"/>
      <c r="DY21" s="411"/>
      <c r="DZ21" s="411"/>
      <c r="EA21" s="411"/>
      <c r="EB21" s="411"/>
      <c r="EC21" s="411"/>
      <c r="ED21" s="411"/>
      <c r="EE21" s="411"/>
      <c r="EF21" s="411"/>
      <c r="EG21" s="411"/>
    </row>
    <row r="22" spans="1:137" s="352" customFormat="1" ht="12" customHeight="1">
      <c r="A22" s="276"/>
      <c r="B22" s="129" t="str">
        <f>UPPER(LEFT(TRIM(Data!B19),1)) &amp; MID(TRIM(Data!B19),2,50)</f>
        <v>Kitų kvėpavimo sistemos organų</v>
      </c>
      <c r="C22" s="129" t="str">
        <f>Data!C19</f>
        <v>C37-C39</v>
      </c>
      <c r="D22" s="130">
        <f>Data!D19+Data!BQ19</f>
        <v>18</v>
      </c>
      <c r="E22" s="131">
        <f t="shared" si="5"/>
        <v>0.61964053963806109</v>
      </c>
      <c r="F22" s="132">
        <f t="shared" si="6"/>
        <v>0.44798076863253772</v>
      </c>
      <c r="G22" s="133">
        <f t="shared" si="7"/>
        <v>0.35290973056177594</v>
      </c>
      <c r="H22" s="281"/>
      <c r="I22" s="281"/>
      <c r="J22" s="281"/>
      <c r="K22" s="281"/>
      <c r="L22" s="281"/>
      <c r="M22" s="281"/>
      <c r="N22" s="281"/>
      <c r="O22" s="280"/>
      <c r="P22" s="360"/>
      <c r="Q22" s="424" t="s">
        <v>353</v>
      </c>
      <c r="R22" s="416">
        <f t="shared" si="3"/>
        <v>44798.076863253773</v>
      </c>
      <c r="S22" s="416">
        <f>(Data!Q19+Data!CD19)/S$6*100000*S$3</f>
        <v>5298.5746834101628</v>
      </c>
      <c r="T22" s="416">
        <f>(Data!R19+Data!CE19)/T$6*100000*T$3</f>
        <v>0</v>
      </c>
      <c r="U22" s="416">
        <f>(Data!S19+Data!CF19)/U$6*100000*U$3</f>
        <v>0</v>
      </c>
      <c r="V22" s="416">
        <f>(Data!T19+Data!CG19)/V$6*100000*V$3</f>
        <v>0</v>
      </c>
      <c r="W22" s="416">
        <f>(Data!U19+Data!CH19)/W$6*100000*W$3</f>
        <v>0</v>
      </c>
      <c r="X22" s="416">
        <f>(Data!V19+Data!CI19)/X$6*100000*X$3</f>
        <v>0</v>
      </c>
      <c r="Y22" s="416">
        <f>(Data!W19+Data!CJ19)/Y$6*100000*Y$3</f>
        <v>0</v>
      </c>
      <c r="Z22" s="416">
        <f>(Data!X19+Data!CK19)/Z$6*100000*Z$3</f>
        <v>0</v>
      </c>
      <c r="AA22" s="416">
        <f>(Data!Y19+Data!CL19)/AA$6*100000*AA$3</f>
        <v>0</v>
      </c>
      <c r="AB22" s="416">
        <f>(Data!Z19+Data!CM19)/AB$6*100000*AB$3</f>
        <v>0</v>
      </c>
      <c r="AC22" s="416">
        <f>(Data!AA19+Data!CN19)/AC$6*100000*AC$3</f>
        <v>3108.4585598067429</v>
      </c>
      <c r="AD22" s="416">
        <f>(Data!AB19+Data!CO19)/AD$6*100000*AD$3</f>
        <v>2813.7442025145497</v>
      </c>
      <c r="AE22" s="416">
        <f>(Data!AC19+Data!CP19)/AE$6*100000*AE$3</f>
        <v>2930.1625068126282</v>
      </c>
      <c r="AF22" s="416">
        <f>(Data!AD19+Data!CQ19)/AF$6*100000*AF$3</f>
        <v>19275.91405696033</v>
      </c>
      <c r="AG22" s="416">
        <f>(Data!AE19+Data!CR19)/AG$6*100000*AG$3</f>
        <v>4561.6622697310904</v>
      </c>
      <c r="AH22" s="416">
        <f>(Data!AF19+Data!CS19)/AH$6*100000*AH$3</f>
        <v>3318.4280606276807</v>
      </c>
      <c r="AI22" s="416">
        <f>(Data!AG19+Data!CT19)/AI$6*100000*AI$3</f>
        <v>3491.1325233905882</v>
      </c>
      <c r="AJ22" s="416">
        <f>(Data!AH19+Data!CU19)/AJ$6*100000*AJ$3</f>
        <v>0</v>
      </c>
      <c r="AK22" s="424" t="s">
        <v>353</v>
      </c>
      <c r="AL22" s="416">
        <f t="shared" si="4"/>
        <v>35290.973056177594</v>
      </c>
      <c r="AM22" s="416">
        <f>(Data!Q19+Data!CD19)/AM$6*100000*AM$3</f>
        <v>7947.8620251152443</v>
      </c>
      <c r="AN22" s="416">
        <f>(Data!R19+Data!CE19)/AN$6*100000*AN$3</f>
        <v>0</v>
      </c>
      <c r="AO22" s="416">
        <f>(Data!S19+Data!CF19)/AO$6*100000*AO$3</f>
        <v>0</v>
      </c>
      <c r="AP22" s="416">
        <f>(Data!T19+Data!CG19)/AP$6*100000*AP$3</f>
        <v>0</v>
      </c>
      <c r="AQ22" s="416">
        <f>(Data!U19+Data!CH19)/AQ$6*100000*AQ$3</f>
        <v>0</v>
      </c>
      <c r="AR22" s="416">
        <f>(Data!V19+Data!CI19)/AR$6*100000*AR$3</f>
        <v>0</v>
      </c>
      <c r="AS22" s="416">
        <f>(Data!W19+Data!CJ19)/AS$6*100000*AS$3</f>
        <v>0</v>
      </c>
      <c r="AT22" s="416">
        <f>(Data!X19+Data!CK19)/AT$6*100000*AT$3</f>
        <v>0</v>
      </c>
      <c r="AU22" s="416">
        <f>(Data!Y19+Data!CL19)/AU$6*100000*AU$3</f>
        <v>0</v>
      </c>
      <c r="AV22" s="416">
        <f>(Data!Z19+Data!CM19)/AV$6*100000*AV$3</f>
        <v>0</v>
      </c>
      <c r="AW22" s="416">
        <f>(Data!AA19+Data!CN19)/AW$6*100000*AW$3</f>
        <v>2220.327542719102</v>
      </c>
      <c r="AX22" s="416">
        <f>(Data!AB19+Data!CO19)/AX$6*100000*AX$3</f>
        <v>1875.8294683430329</v>
      </c>
      <c r="AY22" s="416">
        <f>(Data!AC19+Data!CP19)/AY$6*100000*AY$3</f>
        <v>2344.1300054501025</v>
      </c>
      <c r="AZ22" s="416">
        <f>(Data!AD19+Data!CQ19)/AZ$6*100000*AZ$3</f>
        <v>14456.935542720246</v>
      </c>
      <c r="BA22" s="416">
        <f>(Data!AE19+Data!CR19)/BA$6*100000*BA$3</f>
        <v>3041.1081798207265</v>
      </c>
      <c r="BB22" s="416">
        <f>(Data!AF19+Data!CS19)/BB$6*100000*BB$3</f>
        <v>1659.2140303138403</v>
      </c>
      <c r="BC22" s="416">
        <f>(Data!AG19+Data!CT19)/BC$6*100000*BC$3</f>
        <v>1745.5662616952941</v>
      </c>
      <c r="BD22" s="416">
        <f>(Data!AH19+Data!CU19)/BD$6*100000*BD$3</f>
        <v>0</v>
      </c>
      <c r="BE22" s="411"/>
      <c r="BF22" s="411"/>
      <c r="BG22" s="411"/>
      <c r="BH22" s="411"/>
      <c r="BI22" s="411"/>
      <c r="BJ22" s="411"/>
      <c r="BK22" s="411"/>
      <c r="BL22" s="411"/>
      <c r="BM22" s="411"/>
      <c r="BN22" s="411"/>
      <c r="BO22" s="411"/>
      <c r="BP22" s="411"/>
      <c r="BQ22" s="411"/>
      <c r="BR22" s="411"/>
      <c r="BS22" s="411"/>
      <c r="BT22" s="411"/>
      <c r="BU22" s="411"/>
      <c r="BV22" s="411"/>
      <c r="BW22" s="411"/>
      <c r="BX22" s="411"/>
      <c r="BY22" s="411"/>
      <c r="BZ22" s="411"/>
      <c r="CA22" s="411"/>
      <c r="CB22" s="411"/>
      <c r="CC22" s="411"/>
      <c r="CD22" s="411"/>
      <c r="CE22" s="411"/>
      <c r="CF22" s="411"/>
      <c r="CG22" s="411"/>
      <c r="CH22" s="411"/>
      <c r="CI22" s="411"/>
      <c r="CJ22" s="411"/>
      <c r="CK22" s="411"/>
      <c r="CL22" s="411"/>
      <c r="CM22" s="411"/>
      <c r="CN22" s="411"/>
      <c r="CO22" s="411"/>
      <c r="CP22" s="411"/>
      <c r="CQ22" s="411"/>
      <c r="CR22" s="411"/>
      <c r="CS22" s="411"/>
      <c r="CT22" s="411"/>
      <c r="CU22" s="411"/>
      <c r="CV22" s="411"/>
      <c r="CW22" s="411"/>
      <c r="CX22" s="411"/>
      <c r="CY22" s="411"/>
      <c r="CZ22" s="411"/>
      <c r="DA22" s="411"/>
      <c r="DB22" s="411"/>
      <c r="DC22" s="411"/>
      <c r="DD22" s="411"/>
      <c r="DE22" s="411"/>
      <c r="DF22" s="411"/>
      <c r="DG22" s="411"/>
      <c r="DH22" s="411"/>
      <c r="DI22" s="411"/>
      <c r="DJ22" s="411"/>
      <c r="DK22" s="411"/>
      <c r="DL22" s="411"/>
      <c r="DM22" s="411"/>
      <c r="DN22" s="411"/>
      <c r="DO22" s="411"/>
      <c r="DP22" s="411"/>
      <c r="DQ22" s="411"/>
      <c r="DR22" s="411"/>
      <c r="DS22" s="411"/>
      <c r="DT22" s="411"/>
      <c r="DU22" s="411"/>
      <c r="DV22" s="411"/>
      <c r="DW22" s="411"/>
      <c r="DX22" s="411"/>
      <c r="DY22" s="411"/>
      <c r="DZ22" s="411"/>
      <c r="EA22" s="411"/>
      <c r="EB22" s="411"/>
      <c r="EC22" s="411"/>
      <c r="ED22" s="411"/>
      <c r="EE22" s="411"/>
      <c r="EF22" s="411"/>
      <c r="EG22" s="411"/>
    </row>
    <row r="23" spans="1:137" s="352" customFormat="1" ht="12" customHeight="1">
      <c r="A23" s="276"/>
      <c r="B23" s="283" t="str">
        <f>UPPER(LEFT(TRIM(Data!B20),1)) &amp; MID(TRIM(Data!B20),2,50)</f>
        <v>Kaulų ir jungiamojo audinio</v>
      </c>
      <c r="C23" s="283" t="str">
        <f>Data!C20</f>
        <v>C40-C41, C45-C47, C49</v>
      </c>
      <c r="D23" s="284">
        <f>Data!D20+Data!BQ20</f>
        <v>123</v>
      </c>
      <c r="E23" s="285">
        <f t="shared" si="5"/>
        <v>4.2342103541934168</v>
      </c>
      <c r="F23" s="286">
        <f t="shared" si="6"/>
        <v>3.2798359864072517</v>
      </c>
      <c r="G23" s="286">
        <f t="shared" si="7"/>
        <v>2.7406344683266881</v>
      </c>
      <c r="H23" s="281"/>
      <c r="I23" s="281"/>
      <c r="J23" s="281"/>
      <c r="K23" s="281"/>
      <c r="L23" s="281"/>
      <c r="M23" s="281"/>
      <c r="N23" s="281"/>
      <c r="O23" s="280"/>
      <c r="P23" s="360"/>
      <c r="Q23" s="424" t="s">
        <v>353</v>
      </c>
      <c r="R23" s="416">
        <f t="shared" si="3"/>
        <v>327983.59864072519</v>
      </c>
      <c r="S23" s="416">
        <f>(Data!Q20+Data!CD20)/S$6*100000*S$3</f>
        <v>10597.149366820326</v>
      </c>
      <c r="T23" s="416">
        <f>(Data!R20+Data!CE20)/T$6*100000*T$3</f>
        <v>10044.410644205451</v>
      </c>
      <c r="U23" s="416">
        <f>(Data!S20+Data!CF20)/U$6*100000*U$3</f>
        <v>15643.623361144219</v>
      </c>
      <c r="V23" s="416">
        <f>(Data!T20+Data!CG20)/V$6*100000*V$3</f>
        <v>16840.079388945691</v>
      </c>
      <c r="W23" s="416">
        <f>(Data!U20+Data!CH20)/W$6*100000*W$3</f>
        <v>13894.747289283678</v>
      </c>
      <c r="X23" s="416">
        <f>(Data!V20+Data!CI20)/X$6*100000*X$3</f>
        <v>3578.4576847378785</v>
      </c>
      <c r="Y23" s="416">
        <f>(Data!W20+Data!CJ20)/Y$6*100000*Y$3</f>
        <v>15720.533824412867</v>
      </c>
      <c r="Z23" s="416">
        <f>(Data!X20+Data!CK20)/Z$6*100000*Z$3</f>
        <v>19846.670295772092</v>
      </c>
      <c r="AA23" s="416">
        <f>(Data!Y20+Data!CL20)/AA$6*100000*AA$3</f>
        <v>24781.016729714967</v>
      </c>
      <c r="AB23" s="416">
        <f>(Data!Z20+Data!CM20)/AB$6*100000*AB$3</f>
        <v>3368.2994899432201</v>
      </c>
      <c r="AC23" s="416">
        <f>(Data!AA20+Data!CN20)/AC$6*100000*AC$3</f>
        <v>18650.751358840458</v>
      </c>
      <c r="AD23" s="416">
        <f>(Data!AB20+Data!CO20)/AD$6*100000*AD$3</f>
        <v>28137.442025145494</v>
      </c>
      <c r="AE23" s="416">
        <f>(Data!AC20+Data!CP20)/AE$6*100000*AE$3</f>
        <v>43952.43760218942</v>
      </c>
      <c r="AF23" s="416">
        <f>(Data!AD20+Data!CQ20)/AF$6*100000*AF$3</f>
        <v>13768.510040685946</v>
      </c>
      <c r="AG23" s="416">
        <f>(Data!AE20+Data!CR20)/AG$6*100000*AG$3</f>
        <v>31931.635888117627</v>
      </c>
      <c r="AH23" s="416">
        <f>(Data!AF20+Data!CS20)/AH$6*100000*AH$3</f>
        <v>21569.782394079921</v>
      </c>
      <c r="AI23" s="416">
        <f>(Data!AG20+Data!CT20)/AI$6*100000*AI$3</f>
        <v>18619.373458083137</v>
      </c>
      <c r="AJ23" s="416">
        <f>(Data!AH20+Data!CU20)/AJ$6*100000*AJ$3</f>
        <v>17038.677798602828</v>
      </c>
      <c r="AK23" s="424" t="s">
        <v>353</v>
      </c>
      <c r="AL23" s="416">
        <f t="shared" si="4"/>
        <v>274063.44683266879</v>
      </c>
      <c r="AM23" s="416">
        <f>(Data!Q20+Data!CD20)/AM$6*100000*AM$3</f>
        <v>15895.724050230489</v>
      </c>
      <c r="AN23" s="416">
        <f>(Data!R20+Data!CE20)/AN$6*100000*AN$3</f>
        <v>14349.158063150644</v>
      </c>
      <c r="AO23" s="416">
        <f>(Data!S20+Data!CF20)/AO$6*100000*AO$3</f>
        <v>20113.230035756853</v>
      </c>
      <c r="AP23" s="416">
        <f>(Data!T20+Data!CG20)/AP$6*100000*AP$3</f>
        <v>21651.530642930175</v>
      </c>
      <c r="AQ23" s="416">
        <f>(Data!U20+Data!CH20)/AQ$6*100000*AQ$3</f>
        <v>15879.711187752773</v>
      </c>
      <c r="AR23" s="416">
        <f>(Data!V20+Data!CI20)/AR$6*100000*AR$3</f>
        <v>4089.6659254147185</v>
      </c>
      <c r="AS23" s="416">
        <f>(Data!W20+Data!CJ20)/AS$6*100000*AS$3</f>
        <v>13474.743278068172</v>
      </c>
      <c r="AT23" s="416">
        <f>(Data!X20+Data!CK20)/AT$6*100000*AT$3</f>
        <v>17011.431682090366</v>
      </c>
      <c r="AU23" s="416">
        <f>(Data!Y20+Data!CL20)/AU$6*100000*AU$3</f>
        <v>21240.871482612831</v>
      </c>
      <c r="AV23" s="416">
        <f>(Data!Z20+Data!CM20)/AV$6*100000*AV$3</f>
        <v>2887.1138485227598</v>
      </c>
      <c r="AW23" s="416">
        <f>(Data!AA20+Data!CN20)/AW$6*100000*AW$3</f>
        <v>13321.965256314612</v>
      </c>
      <c r="AX23" s="416">
        <f>(Data!AB20+Data!CO20)/AX$6*100000*AX$3</f>
        <v>18758.294683430329</v>
      </c>
      <c r="AY23" s="416">
        <f>(Data!AC20+Data!CP20)/AY$6*100000*AY$3</f>
        <v>35161.950081751536</v>
      </c>
      <c r="AZ23" s="416">
        <f>(Data!AD20+Data!CQ20)/AZ$6*100000*AZ$3</f>
        <v>10326.38253051446</v>
      </c>
      <c r="BA23" s="416">
        <f>(Data!AE20+Data!CR20)/BA$6*100000*BA$3</f>
        <v>21287.757258745085</v>
      </c>
      <c r="BB23" s="416">
        <f>(Data!AF20+Data!CS20)/BB$6*100000*BB$3</f>
        <v>10784.89119703996</v>
      </c>
      <c r="BC23" s="416">
        <f>(Data!AG20+Data!CT20)/BC$6*100000*BC$3</f>
        <v>9309.6867290415685</v>
      </c>
      <c r="BD23" s="416">
        <f>(Data!AH20+Data!CU20)/BD$6*100000*BD$3</f>
        <v>8519.3388993014141</v>
      </c>
      <c r="BE23" s="411"/>
      <c r="BF23" s="411"/>
      <c r="BG23" s="411"/>
      <c r="BH23" s="411"/>
      <c r="BI23" s="411"/>
      <c r="BJ23" s="411"/>
      <c r="BK23" s="411"/>
      <c r="BL23" s="411"/>
      <c r="BM23" s="411"/>
      <c r="BN23" s="411"/>
      <c r="BO23" s="411"/>
      <c r="BP23" s="411"/>
      <c r="BQ23" s="411"/>
      <c r="BR23" s="411"/>
      <c r="BS23" s="411"/>
      <c r="BT23" s="411"/>
      <c r="BU23" s="411"/>
      <c r="BV23" s="411"/>
      <c r="BW23" s="411"/>
      <c r="BX23" s="411"/>
      <c r="BY23" s="411"/>
      <c r="BZ23" s="411"/>
      <c r="CA23" s="411"/>
      <c r="CB23" s="411"/>
      <c r="CC23" s="411"/>
      <c r="CD23" s="411"/>
      <c r="CE23" s="411"/>
      <c r="CF23" s="411"/>
      <c r="CG23" s="411"/>
      <c r="CH23" s="411"/>
      <c r="CI23" s="411"/>
      <c r="CJ23" s="411"/>
      <c r="CK23" s="411"/>
      <c r="CL23" s="411"/>
      <c r="CM23" s="411"/>
      <c r="CN23" s="411"/>
      <c r="CO23" s="411"/>
      <c r="CP23" s="411"/>
      <c r="CQ23" s="411"/>
      <c r="CR23" s="411"/>
      <c r="CS23" s="411"/>
      <c r="CT23" s="411"/>
      <c r="CU23" s="411"/>
      <c r="CV23" s="411"/>
      <c r="CW23" s="411"/>
      <c r="CX23" s="411"/>
      <c r="CY23" s="411"/>
      <c r="CZ23" s="411"/>
      <c r="DA23" s="411"/>
      <c r="DB23" s="411"/>
      <c r="DC23" s="411"/>
      <c r="DD23" s="411"/>
      <c r="DE23" s="411"/>
      <c r="DF23" s="411"/>
      <c r="DG23" s="411"/>
      <c r="DH23" s="411"/>
      <c r="DI23" s="411"/>
      <c r="DJ23" s="411"/>
      <c r="DK23" s="411"/>
      <c r="DL23" s="411"/>
      <c r="DM23" s="411"/>
      <c r="DN23" s="411"/>
      <c r="DO23" s="411"/>
      <c r="DP23" s="411"/>
      <c r="DQ23" s="411"/>
      <c r="DR23" s="411"/>
      <c r="DS23" s="411"/>
      <c r="DT23" s="411"/>
      <c r="DU23" s="411"/>
      <c r="DV23" s="411"/>
      <c r="DW23" s="411"/>
      <c r="DX23" s="411"/>
      <c r="DY23" s="411"/>
      <c r="DZ23" s="411"/>
      <c r="EA23" s="411"/>
      <c r="EB23" s="411"/>
      <c r="EC23" s="411"/>
      <c r="ED23" s="411"/>
      <c r="EE23" s="411"/>
      <c r="EF23" s="411"/>
      <c r="EG23" s="411"/>
    </row>
    <row r="24" spans="1:137" s="352" customFormat="1" ht="12" customHeight="1">
      <c r="A24" s="276"/>
      <c r="B24" s="129" t="str">
        <f>UPPER(LEFT(TRIM(Data!B21),1)) &amp; MID(TRIM(Data!B21),2,50)</f>
        <v>Odos melanoma</v>
      </c>
      <c r="C24" s="129" t="str">
        <f>Data!C21</f>
        <v>C43</v>
      </c>
      <c r="D24" s="130">
        <f>Data!D21+Data!BQ21</f>
        <v>346</v>
      </c>
      <c r="E24" s="131">
        <f t="shared" si="5"/>
        <v>11.910868150820509</v>
      </c>
      <c r="F24" s="132">
        <f t="shared" si="6"/>
        <v>8.774014208853627</v>
      </c>
      <c r="G24" s="133">
        <f t="shared" si="7"/>
        <v>6.3820500309181494</v>
      </c>
      <c r="H24" s="281"/>
      <c r="I24" s="281"/>
      <c r="J24" s="281"/>
      <c r="K24" s="281"/>
      <c r="L24" s="281"/>
      <c r="M24" s="281"/>
      <c r="N24" s="281"/>
      <c r="O24" s="280"/>
      <c r="P24" s="360"/>
      <c r="Q24" s="424" t="s">
        <v>353</v>
      </c>
      <c r="R24" s="416">
        <f t="shared" si="3"/>
        <v>877401.42088536278</v>
      </c>
      <c r="S24" s="416">
        <f>(Data!Q21+Data!CD21)/S$6*100000*S$3</f>
        <v>0</v>
      </c>
      <c r="T24" s="416">
        <f>(Data!R21+Data!CE21)/T$6*100000*T$3</f>
        <v>0</v>
      </c>
      <c r="U24" s="416">
        <f>(Data!S21+Data!CF21)/U$6*100000*U$3</f>
        <v>0</v>
      </c>
      <c r="V24" s="416">
        <f>(Data!T21+Data!CG21)/V$6*100000*V$3</f>
        <v>0</v>
      </c>
      <c r="W24" s="416">
        <f>(Data!U21+Data!CH21)/W$6*100000*W$3</f>
        <v>13894.747289283678</v>
      </c>
      <c r="X24" s="416">
        <f>(Data!V21+Data!CI21)/X$6*100000*X$3</f>
        <v>14313.830738951514</v>
      </c>
      <c r="Y24" s="416">
        <f>(Data!W21+Data!CJ21)/Y$6*100000*Y$3</f>
        <v>27510.934192722518</v>
      </c>
      <c r="Z24" s="416">
        <f>(Data!X21+Data!CK21)/Z$6*100000*Z$3</f>
        <v>39693.340591544184</v>
      </c>
      <c r="AA24" s="416">
        <f>(Data!Y21+Data!CL21)/AA$6*100000*AA$3</f>
        <v>74343.050189144909</v>
      </c>
      <c r="AB24" s="416">
        <f>(Data!Z21+Data!CM21)/AB$6*100000*AB$3</f>
        <v>63997.690308921185</v>
      </c>
      <c r="AC24" s="416">
        <f>(Data!AA21+Data!CN21)/AC$6*100000*AC$3</f>
        <v>83928.381114782052</v>
      </c>
      <c r="AD24" s="416">
        <f>(Data!AB21+Data!CO21)/AD$6*100000*AD$3</f>
        <v>106922.27969555289</v>
      </c>
      <c r="AE24" s="416">
        <f>(Data!AC21+Data!CP21)/AE$6*100000*AE$3</f>
        <v>93765.200218004102</v>
      </c>
      <c r="AF24" s="416">
        <f>(Data!AD21+Data!CQ21)/AF$6*100000*AF$3</f>
        <v>104640.67630921319</v>
      </c>
      <c r="AG24" s="416">
        <f>(Data!AE21+Data!CR21)/AG$6*100000*AG$3</f>
        <v>107199.06333868061</v>
      </c>
      <c r="AH24" s="416">
        <f>(Data!AF21+Data!CS21)/AH$6*100000*AH$3</f>
        <v>81301.48748537818</v>
      </c>
      <c r="AI24" s="416">
        <f>(Data!AG21+Data!CT21)/AI$6*100000*AI$3</f>
        <v>34911.325233905874</v>
      </c>
      <c r="AJ24" s="416">
        <f>(Data!AH21+Data!CU21)/AJ$6*100000*AJ$3</f>
        <v>30979.414179277872</v>
      </c>
      <c r="AK24" s="424" t="s">
        <v>353</v>
      </c>
      <c r="AL24" s="416">
        <f t="shared" si="4"/>
        <v>638205.00309181493</v>
      </c>
      <c r="AM24" s="416">
        <f>(Data!Q21+Data!CD21)/AM$6*100000*AM$3</f>
        <v>0</v>
      </c>
      <c r="AN24" s="416">
        <f>(Data!R21+Data!CE21)/AN$6*100000*AN$3</f>
        <v>0</v>
      </c>
      <c r="AO24" s="416">
        <f>(Data!S21+Data!CF21)/AO$6*100000*AO$3</f>
        <v>0</v>
      </c>
      <c r="AP24" s="416">
        <f>(Data!T21+Data!CG21)/AP$6*100000*AP$3</f>
        <v>0</v>
      </c>
      <c r="AQ24" s="416">
        <f>(Data!U21+Data!CH21)/AQ$6*100000*AQ$3</f>
        <v>15879.711187752773</v>
      </c>
      <c r="AR24" s="416">
        <f>(Data!V21+Data!CI21)/AR$6*100000*AR$3</f>
        <v>16358.663701658874</v>
      </c>
      <c r="AS24" s="416">
        <f>(Data!W21+Data!CJ21)/AS$6*100000*AS$3</f>
        <v>23580.800736619301</v>
      </c>
      <c r="AT24" s="416">
        <f>(Data!X21+Data!CK21)/AT$6*100000*AT$3</f>
        <v>34022.863364180732</v>
      </c>
      <c r="AU24" s="416">
        <f>(Data!Y21+Data!CL21)/AU$6*100000*AU$3</f>
        <v>63722.614447838496</v>
      </c>
      <c r="AV24" s="416">
        <f>(Data!Z21+Data!CM21)/AV$6*100000*AV$3</f>
        <v>54855.163121932441</v>
      </c>
      <c r="AW24" s="416">
        <f>(Data!AA21+Data!CN21)/AW$6*100000*AW$3</f>
        <v>59948.843653415752</v>
      </c>
      <c r="AX24" s="416">
        <f>(Data!AB21+Data!CO21)/AX$6*100000*AX$3</f>
        <v>71281.51979703526</v>
      </c>
      <c r="AY24" s="416">
        <f>(Data!AC21+Data!CP21)/AY$6*100000*AY$3</f>
        <v>75012.160174403281</v>
      </c>
      <c r="AZ24" s="416">
        <f>(Data!AD21+Data!CQ21)/AZ$6*100000*AZ$3</f>
        <v>78480.507231909898</v>
      </c>
      <c r="BA24" s="416">
        <f>(Data!AE21+Data!CR21)/BA$6*100000*BA$3</f>
        <v>71466.042225787081</v>
      </c>
      <c r="BB24" s="416">
        <f>(Data!AF21+Data!CS21)/BB$6*100000*BB$3</f>
        <v>40650.74374268909</v>
      </c>
      <c r="BC24" s="416">
        <f>(Data!AG21+Data!CT21)/BC$6*100000*BC$3</f>
        <v>17455.662616952937</v>
      </c>
      <c r="BD24" s="416">
        <f>(Data!AH21+Data!CU21)/BD$6*100000*BD$3</f>
        <v>15489.707089638936</v>
      </c>
      <c r="BE24" s="411"/>
      <c r="BF24" s="411"/>
      <c r="BG24" s="411"/>
      <c r="BH24" s="411"/>
      <c r="BI24" s="411"/>
      <c r="BJ24" s="411"/>
      <c r="BK24" s="411"/>
      <c r="BL24" s="411"/>
      <c r="BM24" s="411"/>
      <c r="BN24" s="411"/>
      <c r="BO24" s="411"/>
      <c r="BP24" s="411"/>
      <c r="BQ24" s="411"/>
      <c r="BR24" s="411"/>
      <c r="BS24" s="411"/>
      <c r="BT24" s="411"/>
      <c r="BU24" s="411"/>
      <c r="BV24" s="411"/>
      <c r="BW24" s="411"/>
      <c r="BX24" s="411"/>
      <c r="BY24" s="411"/>
      <c r="BZ24" s="411"/>
      <c r="CA24" s="411"/>
      <c r="CB24" s="411"/>
      <c r="CC24" s="411"/>
      <c r="CD24" s="411"/>
      <c r="CE24" s="411"/>
      <c r="CF24" s="411"/>
      <c r="CG24" s="411"/>
      <c r="CH24" s="411"/>
      <c r="CI24" s="411"/>
      <c r="CJ24" s="411"/>
      <c r="CK24" s="411"/>
      <c r="CL24" s="411"/>
      <c r="CM24" s="411"/>
      <c r="CN24" s="411"/>
      <c r="CO24" s="411"/>
      <c r="CP24" s="411"/>
      <c r="CQ24" s="411"/>
      <c r="CR24" s="411"/>
      <c r="CS24" s="411"/>
      <c r="CT24" s="411"/>
      <c r="CU24" s="411"/>
      <c r="CV24" s="411"/>
      <c r="CW24" s="411"/>
      <c r="CX24" s="411"/>
      <c r="CY24" s="411"/>
      <c r="CZ24" s="411"/>
      <c r="DA24" s="411"/>
      <c r="DB24" s="411"/>
      <c r="DC24" s="411"/>
      <c r="DD24" s="411"/>
      <c r="DE24" s="411"/>
      <c r="DF24" s="411"/>
      <c r="DG24" s="411"/>
      <c r="DH24" s="411"/>
      <c r="DI24" s="411"/>
      <c r="DJ24" s="411"/>
      <c r="DK24" s="411"/>
      <c r="DL24" s="411"/>
      <c r="DM24" s="411"/>
      <c r="DN24" s="411"/>
      <c r="DO24" s="411"/>
      <c r="DP24" s="411"/>
      <c r="DQ24" s="411"/>
      <c r="DR24" s="411"/>
      <c r="DS24" s="411"/>
      <c r="DT24" s="411"/>
      <c r="DU24" s="411"/>
      <c r="DV24" s="411"/>
      <c r="DW24" s="411"/>
      <c r="DX24" s="411"/>
      <c r="DY24" s="411"/>
      <c r="DZ24" s="411"/>
      <c r="EA24" s="411"/>
      <c r="EB24" s="411"/>
      <c r="EC24" s="411"/>
      <c r="ED24" s="411"/>
      <c r="EE24" s="411"/>
      <c r="EF24" s="411"/>
      <c r="EG24" s="411"/>
    </row>
    <row r="25" spans="1:137" s="352" customFormat="1" ht="12" customHeight="1">
      <c r="A25" s="276"/>
      <c r="B25" s="283" t="str">
        <f>UPPER(LEFT(TRIM(Data!B22),1)) &amp; MID(TRIM(Data!B22),2,50)</f>
        <v>Kiti odos piktybiniai navikai</v>
      </c>
      <c r="C25" s="283" t="str">
        <f>Data!C22</f>
        <v>C44</v>
      </c>
      <c r="D25" s="284">
        <f>Data!D22+Data!BQ22</f>
        <v>2237</v>
      </c>
      <c r="E25" s="285">
        <f t="shared" si="5"/>
        <v>77.007549287241247</v>
      </c>
      <c r="F25" s="286">
        <f t="shared" si="6"/>
        <v>50.333436924935683</v>
      </c>
      <c r="G25" s="286">
        <f t="shared" si="7"/>
        <v>34.32591743639167</v>
      </c>
      <c r="H25" s="281"/>
      <c r="I25" s="281"/>
      <c r="J25" s="281"/>
      <c r="K25" s="281"/>
      <c r="L25" s="281"/>
      <c r="M25" s="281"/>
      <c r="N25" s="281"/>
      <c r="O25" s="280"/>
      <c r="P25" s="360"/>
      <c r="Q25" s="424" t="s">
        <v>353</v>
      </c>
      <c r="R25" s="416">
        <f t="shared" si="3"/>
        <v>5033343.6924935682</v>
      </c>
      <c r="S25" s="416">
        <f>(Data!Q22+Data!CD22)/S$6*100000*S$3</f>
        <v>0</v>
      </c>
      <c r="T25" s="416">
        <f>(Data!R22+Data!CE22)/T$6*100000*T$3</f>
        <v>0</v>
      </c>
      <c r="U25" s="416">
        <f>(Data!S22+Data!CF22)/U$6*100000*U$3</f>
        <v>0</v>
      </c>
      <c r="V25" s="416">
        <f>(Data!T22+Data!CG22)/V$6*100000*V$3</f>
        <v>4210.0198472364227</v>
      </c>
      <c r="W25" s="416">
        <f>(Data!U22+Data!CH22)/W$6*100000*W$3</f>
        <v>10421.060466962757</v>
      </c>
      <c r="X25" s="416">
        <f>(Data!V22+Data!CI22)/X$6*100000*X$3</f>
        <v>50098.407586330286</v>
      </c>
      <c r="Y25" s="416">
        <f>(Data!W22+Data!CJ22)/Y$6*100000*Y$3</f>
        <v>74672.535665961113</v>
      </c>
      <c r="Z25" s="416">
        <f>(Data!X22+Data!CK22)/Z$6*100000*Z$3</f>
        <v>130988.0239520958</v>
      </c>
      <c r="AA25" s="416">
        <f>(Data!Y22+Data!CL22)/AA$6*100000*AA$3</f>
        <v>162846.68136669838</v>
      </c>
      <c r="AB25" s="416">
        <f>(Data!Z22+Data!CM22)/AB$6*100000*AB$3</f>
        <v>239149.26378596862</v>
      </c>
      <c r="AC25" s="416">
        <f>(Data!AA22+Data!CN22)/AC$6*100000*AC$3</f>
        <v>360581.19293758215</v>
      </c>
      <c r="AD25" s="416">
        <f>(Data!AB22+Data!CO22)/AD$6*100000*AD$3</f>
        <v>483964.00283250248</v>
      </c>
      <c r="AE25" s="416">
        <f>(Data!AC22+Data!CP22)/AE$6*100000*AE$3</f>
        <v>568451.52632164978</v>
      </c>
      <c r="AF25" s="416">
        <f>(Data!AD22+Data!CQ22)/AF$6*100000*AF$3</f>
        <v>809588.39039233373</v>
      </c>
      <c r="AG25" s="416">
        <f>(Data!AE22+Data!CR22)/AG$6*100000*AG$3</f>
        <v>754955.10564049543</v>
      </c>
      <c r="AH25" s="416">
        <f>(Data!AF22+Data!CS22)/AH$6*100000*AH$3</f>
        <v>640456.61570114235</v>
      </c>
      <c r="AI25" s="416">
        <f>(Data!AG22+Data!CT22)/AI$6*100000*AI$3</f>
        <v>361914.071591491</v>
      </c>
      <c r="AJ25" s="416">
        <f>(Data!AH22+Data!CU22)/AJ$6*100000*AJ$3</f>
        <v>381046.79440511781</v>
      </c>
      <c r="AK25" s="424" t="s">
        <v>353</v>
      </c>
      <c r="AL25" s="416">
        <f t="shared" si="4"/>
        <v>3432591.7436391669</v>
      </c>
      <c r="AM25" s="416">
        <f>(Data!Q22+Data!CD22)/AM$6*100000*AM$3</f>
        <v>0</v>
      </c>
      <c r="AN25" s="416">
        <f>(Data!R22+Data!CE22)/AN$6*100000*AN$3</f>
        <v>0</v>
      </c>
      <c r="AO25" s="416">
        <f>(Data!S22+Data!CF22)/AO$6*100000*AO$3</f>
        <v>0</v>
      </c>
      <c r="AP25" s="416">
        <f>(Data!T22+Data!CG22)/AP$6*100000*AP$3</f>
        <v>5412.8826607325436</v>
      </c>
      <c r="AQ25" s="416">
        <f>(Data!U22+Data!CH22)/AQ$6*100000*AQ$3</f>
        <v>11909.78339081458</v>
      </c>
      <c r="AR25" s="416">
        <f>(Data!V22+Data!CI22)/AR$6*100000*AR$3</f>
        <v>57255.322955806041</v>
      </c>
      <c r="AS25" s="416">
        <f>(Data!W22+Data!CJ22)/AS$6*100000*AS$3</f>
        <v>64005.030570823816</v>
      </c>
      <c r="AT25" s="416">
        <f>(Data!X22+Data!CK22)/AT$6*100000*AT$3</f>
        <v>112275.4491017964</v>
      </c>
      <c r="AU25" s="416">
        <f>(Data!Y22+Data!CL22)/AU$6*100000*AU$3</f>
        <v>139582.86974288433</v>
      </c>
      <c r="AV25" s="416">
        <f>(Data!Z22+Data!CM22)/AV$6*100000*AV$3</f>
        <v>204985.08324511597</v>
      </c>
      <c r="AW25" s="416">
        <f>(Data!AA22+Data!CN22)/AW$6*100000*AW$3</f>
        <v>257557.99495541581</v>
      </c>
      <c r="AX25" s="416">
        <f>(Data!AB22+Data!CO22)/AX$6*100000*AX$3</f>
        <v>322642.66855500167</v>
      </c>
      <c r="AY25" s="416">
        <f>(Data!AC22+Data!CP22)/AY$6*100000*AY$3</f>
        <v>454761.22105731978</v>
      </c>
      <c r="AZ25" s="416">
        <f>(Data!AD22+Data!CQ22)/AZ$6*100000*AZ$3</f>
        <v>607191.2927942503</v>
      </c>
      <c r="BA25" s="416">
        <f>(Data!AE22+Data!CR22)/BA$6*100000*BA$3</f>
        <v>503303.40376033029</v>
      </c>
      <c r="BB25" s="416">
        <f>(Data!AF22+Data!CS22)/BB$6*100000*BB$3</f>
        <v>320228.30785057117</v>
      </c>
      <c r="BC25" s="416">
        <f>(Data!AG22+Data!CT22)/BC$6*100000*BC$3</f>
        <v>180957.0357957455</v>
      </c>
      <c r="BD25" s="416">
        <f>(Data!AH22+Data!CU22)/BD$6*100000*BD$3</f>
        <v>190523.3972025589</v>
      </c>
      <c r="BE25" s="411"/>
      <c r="BF25" s="411"/>
      <c r="BG25" s="411"/>
      <c r="BH25" s="411"/>
      <c r="BI25" s="411"/>
      <c r="BJ25" s="411"/>
      <c r="BK25" s="411"/>
      <c r="BL25" s="411"/>
      <c r="BM25" s="411"/>
      <c r="BN25" s="411"/>
      <c r="BO25" s="411"/>
      <c r="BP25" s="411"/>
      <c r="BQ25" s="411"/>
      <c r="BR25" s="411"/>
      <c r="BS25" s="411"/>
      <c r="BT25" s="411"/>
      <c r="BU25" s="411"/>
      <c r="BV25" s="411"/>
      <c r="BW25" s="411"/>
      <c r="BX25" s="411"/>
      <c r="BY25" s="411"/>
      <c r="BZ25" s="411"/>
      <c r="CA25" s="411"/>
      <c r="CB25" s="411"/>
      <c r="CC25" s="411"/>
      <c r="CD25" s="411"/>
      <c r="CE25" s="411"/>
      <c r="CF25" s="411"/>
      <c r="CG25" s="411"/>
      <c r="CH25" s="411"/>
      <c r="CI25" s="411"/>
      <c r="CJ25" s="411"/>
      <c r="CK25" s="411"/>
      <c r="CL25" s="411"/>
      <c r="CM25" s="411"/>
      <c r="CN25" s="411"/>
      <c r="CO25" s="411"/>
      <c r="CP25" s="411"/>
      <c r="CQ25" s="411"/>
      <c r="CR25" s="411"/>
      <c r="CS25" s="411"/>
      <c r="CT25" s="411"/>
      <c r="CU25" s="411"/>
      <c r="CV25" s="411"/>
      <c r="CW25" s="411"/>
      <c r="CX25" s="411"/>
      <c r="CY25" s="411"/>
      <c r="CZ25" s="411"/>
      <c r="DA25" s="411"/>
      <c r="DB25" s="411"/>
      <c r="DC25" s="411"/>
      <c r="DD25" s="411"/>
      <c r="DE25" s="411"/>
      <c r="DF25" s="411"/>
      <c r="DG25" s="411"/>
      <c r="DH25" s="411"/>
      <c r="DI25" s="411"/>
      <c r="DJ25" s="411"/>
      <c r="DK25" s="411"/>
      <c r="DL25" s="411"/>
      <c r="DM25" s="411"/>
      <c r="DN25" s="411"/>
      <c r="DO25" s="411"/>
      <c r="DP25" s="411"/>
      <c r="DQ25" s="411"/>
      <c r="DR25" s="411"/>
      <c r="DS25" s="411"/>
      <c r="DT25" s="411"/>
      <c r="DU25" s="411"/>
      <c r="DV25" s="411"/>
      <c r="DW25" s="411"/>
      <c r="DX25" s="411"/>
      <c r="DY25" s="411"/>
      <c r="DZ25" s="411"/>
      <c r="EA25" s="411"/>
      <c r="EB25" s="411"/>
      <c r="EC25" s="411"/>
      <c r="ED25" s="411"/>
      <c r="EE25" s="411"/>
      <c r="EF25" s="411"/>
      <c r="EG25" s="411"/>
    </row>
    <row r="26" spans="1:137" s="352" customFormat="1" ht="12" customHeight="1">
      <c r="A26" s="276"/>
      <c r="B26" s="129" t="str">
        <f>UPPER(LEFT(TRIM(Data!B23),1)) &amp; MID(TRIM(Data!B23),2,50)</f>
        <v>Krūties</v>
      </c>
      <c r="C26" s="129" t="str">
        <f>Data!C23</f>
        <v>C50</v>
      </c>
      <c r="D26" s="130">
        <f>Data!D23+Data!BQ23</f>
        <v>1646</v>
      </c>
      <c r="E26" s="131">
        <f t="shared" si="5"/>
        <v>56.662684902458253</v>
      </c>
      <c r="F26" s="132">
        <f t="shared" si="6"/>
        <v>43.898736769957317</v>
      </c>
      <c r="G26" s="133">
        <f t="shared" si="7"/>
        <v>32.004417330079505</v>
      </c>
      <c r="H26" s="281"/>
      <c r="I26" s="281"/>
      <c r="J26" s="281"/>
      <c r="K26" s="281"/>
      <c r="L26" s="281"/>
      <c r="M26" s="281"/>
      <c r="N26" s="281"/>
      <c r="O26" s="280"/>
      <c r="P26" s="360"/>
      <c r="Q26" s="424" t="s">
        <v>353</v>
      </c>
      <c r="R26" s="416">
        <f t="shared" si="3"/>
        <v>4389873.6769957319</v>
      </c>
      <c r="S26" s="416">
        <f>(Data!Q23+Data!CD23)/S$6*100000*S$3</f>
        <v>0</v>
      </c>
      <c r="T26" s="416">
        <f>(Data!R23+Data!CE23)/T$6*100000*T$3</f>
        <v>0</v>
      </c>
      <c r="U26" s="416">
        <f>(Data!S23+Data!CF23)/U$6*100000*U$3</f>
        <v>0</v>
      </c>
      <c r="V26" s="416">
        <f>(Data!T23+Data!CG23)/V$6*100000*V$3</f>
        <v>0</v>
      </c>
      <c r="W26" s="416">
        <f>(Data!U23+Data!CH23)/W$6*100000*W$3</f>
        <v>0</v>
      </c>
      <c r="X26" s="416">
        <f>(Data!V23+Data!CI23)/X$6*100000*X$3</f>
        <v>14313.830738951514</v>
      </c>
      <c r="Y26" s="416">
        <f>(Data!W23+Data!CJ23)/Y$6*100000*Y$3</f>
        <v>70742.402209857886</v>
      </c>
      <c r="Z26" s="416">
        <f>(Data!X23+Data!CK23)/Z$6*100000*Z$3</f>
        <v>182589.36672110326</v>
      </c>
      <c r="AA26" s="416">
        <f>(Data!Y23+Data!CL23)/AA$6*100000*AA$3</f>
        <v>343394.08896890742</v>
      </c>
      <c r="AB26" s="416">
        <f>(Data!Z23+Data!CM23)/AB$6*100000*AB$3</f>
        <v>441247.23318256182</v>
      </c>
      <c r="AC26" s="416">
        <f>(Data!AA23+Data!CN23)/AC$6*100000*AC$3</f>
        <v>761572.34715265199</v>
      </c>
      <c r="AD26" s="416">
        <f>(Data!AB23+Data!CO23)/AD$6*100000*AD$3</f>
        <v>593700.02673056989</v>
      </c>
      <c r="AE26" s="416">
        <f>(Data!AC23+Data!CP23)/AE$6*100000*AE$3</f>
        <v>606543.63891021395</v>
      </c>
      <c r="AF26" s="416">
        <f>(Data!AD23+Data!CQ23)/AF$6*100000*AF$3</f>
        <v>459868.23535891069</v>
      </c>
      <c r="AG26" s="416">
        <f>(Data!AE23+Data!CR23)/AG$6*100000*AG$3</f>
        <v>399145.44860147039</v>
      </c>
      <c r="AH26" s="416">
        <f>(Data!AF23+Data!CS23)/AH$6*100000*AH$3</f>
        <v>285384.81321398058</v>
      </c>
      <c r="AI26" s="416">
        <f>(Data!AG23+Data!CT23)/AI$6*100000*AI$3</f>
        <v>110552.52990736862</v>
      </c>
      <c r="AJ26" s="416">
        <f>(Data!AH23+Data!CU23)/AJ$6*100000*AJ$3</f>
        <v>120819.71529918368</v>
      </c>
      <c r="AK26" s="424" t="s">
        <v>353</v>
      </c>
      <c r="AL26" s="416">
        <f t="shared" si="4"/>
        <v>3200441.7330079507</v>
      </c>
      <c r="AM26" s="416">
        <f>(Data!Q23+Data!CD23)/AM$6*100000*AM$3</f>
        <v>0</v>
      </c>
      <c r="AN26" s="416">
        <f>(Data!R23+Data!CE23)/AN$6*100000*AN$3</f>
        <v>0</v>
      </c>
      <c r="AO26" s="416">
        <f>(Data!S23+Data!CF23)/AO$6*100000*AO$3</f>
        <v>0</v>
      </c>
      <c r="AP26" s="416">
        <f>(Data!T23+Data!CG23)/AP$6*100000*AP$3</f>
        <v>0</v>
      </c>
      <c r="AQ26" s="416">
        <f>(Data!U23+Data!CH23)/AQ$6*100000*AQ$3</f>
        <v>0</v>
      </c>
      <c r="AR26" s="416">
        <f>(Data!V23+Data!CI23)/AR$6*100000*AR$3</f>
        <v>16358.663701658874</v>
      </c>
      <c r="AS26" s="416">
        <f>(Data!W23+Data!CJ23)/AS$6*100000*AS$3</f>
        <v>60636.344751306766</v>
      </c>
      <c r="AT26" s="416">
        <f>(Data!X23+Data!CK23)/AT$6*100000*AT$3</f>
        <v>156505.17147523136</v>
      </c>
      <c r="AU26" s="416">
        <f>(Data!Y23+Data!CL23)/AU$6*100000*AU$3</f>
        <v>294337.79054477776</v>
      </c>
      <c r="AV26" s="416">
        <f>(Data!Z23+Data!CM23)/AV$6*100000*AV$3</f>
        <v>378211.91415648157</v>
      </c>
      <c r="AW26" s="416">
        <f>(Data!AA23+Data!CN23)/AW$6*100000*AW$3</f>
        <v>543980.24796617997</v>
      </c>
      <c r="AX26" s="416">
        <f>(Data!AB23+Data!CO23)/AX$6*100000*AX$3</f>
        <v>395800.01782037993</v>
      </c>
      <c r="AY26" s="416">
        <f>(Data!AC23+Data!CP23)/AY$6*100000*AY$3</f>
        <v>485234.9111281712</v>
      </c>
      <c r="AZ26" s="416">
        <f>(Data!AD23+Data!CQ23)/AZ$6*100000*AZ$3</f>
        <v>344901.17651918303</v>
      </c>
      <c r="BA26" s="416">
        <f>(Data!AE23+Data!CR23)/BA$6*100000*BA$3</f>
        <v>266096.96573431359</v>
      </c>
      <c r="BB26" s="416">
        <f>(Data!AF23+Data!CS23)/BB$6*100000*BB$3</f>
        <v>142692.40660699029</v>
      </c>
      <c r="BC26" s="416">
        <f>(Data!AG23+Data!CT23)/BC$6*100000*BC$3</f>
        <v>55276.264953684309</v>
      </c>
      <c r="BD26" s="416">
        <f>(Data!AH23+Data!CU23)/BD$6*100000*BD$3</f>
        <v>60409.857649591839</v>
      </c>
      <c r="BE26" s="411"/>
      <c r="BF26" s="411"/>
      <c r="BG26" s="411"/>
      <c r="BH26" s="411"/>
      <c r="BI26" s="411"/>
      <c r="BJ26" s="411"/>
      <c r="BK26" s="411"/>
      <c r="BL26" s="411"/>
      <c r="BM26" s="411"/>
      <c r="BN26" s="411"/>
      <c r="BO26" s="411"/>
      <c r="BP26" s="411"/>
      <c r="BQ26" s="411"/>
      <c r="BR26" s="411"/>
      <c r="BS26" s="411"/>
      <c r="BT26" s="411"/>
      <c r="BU26" s="411"/>
      <c r="BV26" s="411"/>
      <c r="BW26" s="411"/>
      <c r="BX26" s="411"/>
      <c r="BY26" s="411"/>
      <c r="BZ26" s="411"/>
      <c r="CA26" s="411"/>
      <c r="CB26" s="411"/>
      <c r="CC26" s="411"/>
      <c r="CD26" s="411"/>
      <c r="CE26" s="411"/>
      <c r="CF26" s="411"/>
      <c r="CG26" s="411"/>
      <c r="CH26" s="411"/>
      <c r="CI26" s="411"/>
      <c r="CJ26" s="411"/>
      <c r="CK26" s="411"/>
      <c r="CL26" s="411"/>
      <c r="CM26" s="411"/>
      <c r="CN26" s="411"/>
      <c r="CO26" s="411"/>
      <c r="CP26" s="411"/>
      <c r="CQ26" s="411"/>
      <c r="CR26" s="411"/>
      <c r="CS26" s="411"/>
      <c r="CT26" s="411"/>
      <c r="CU26" s="411"/>
      <c r="CV26" s="411"/>
      <c r="CW26" s="411"/>
      <c r="CX26" s="411"/>
      <c r="CY26" s="411"/>
      <c r="CZ26" s="411"/>
      <c r="DA26" s="411"/>
      <c r="DB26" s="411"/>
      <c r="DC26" s="411"/>
      <c r="DD26" s="411"/>
      <c r="DE26" s="411"/>
      <c r="DF26" s="411"/>
      <c r="DG26" s="411"/>
      <c r="DH26" s="411"/>
      <c r="DI26" s="411"/>
      <c r="DJ26" s="411"/>
      <c r="DK26" s="411"/>
      <c r="DL26" s="411"/>
      <c r="DM26" s="411"/>
      <c r="DN26" s="411"/>
      <c r="DO26" s="411"/>
      <c r="DP26" s="411"/>
      <c r="DQ26" s="411"/>
      <c r="DR26" s="411"/>
      <c r="DS26" s="411"/>
      <c r="DT26" s="411"/>
      <c r="DU26" s="411"/>
      <c r="DV26" s="411"/>
      <c r="DW26" s="411"/>
      <c r="DX26" s="411"/>
      <c r="DY26" s="411"/>
      <c r="DZ26" s="411"/>
      <c r="EA26" s="411"/>
      <c r="EB26" s="411"/>
      <c r="EC26" s="411"/>
      <c r="ED26" s="411"/>
      <c r="EE26" s="411"/>
      <c r="EF26" s="411"/>
      <c r="EG26" s="411"/>
    </row>
    <row r="27" spans="1:137" s="352" customFormat="1" ht="12" customHeight="1">
      <c r="A27" s="276"/>
      <c r="B27" s="283" t="str">
        <f>UPPER(LEFT(TRIM(Data!B24),1)) &amp; MID(TRIM(Data!B24),2,50)</f>
        <v>Vulvos</v>
      </c>
      <c r="C27" s="283" t="str">
        <f>Data!C24</f>
        <v>C51</v>
      </c>
      <c r="D27" s="284">
        <f>Lent02m!D25</f>
        <v>51</v>
      </c>
      <c r="E27" s="285">
        <f>Lent02m!E25</f>
        <v>3.2546723693631949</v>
      </c>
      <c r="F27" s="286">
        <f>Lent02m!F25</f>
        <v>1.8433007703375979</v>
      </c>
      <c r="G27" s="286">
        <f>Lent02m!G25</f>
        <v>1.2617936753335914</v>
      </c>
      <c r="H27" s="281"/>
      <c r="I27" s="281"/>
      <c r="J27" s="281"/>
      <c r="K27" s="281"/>
      <c r="L27" s="281"/>
      <c r="M27" s="281"/>
      <c r="N27" s="281"/>
      <c r="O27" s="277"/>
      <c r="P27" s="360"/>
      <c r="Q27" s="424"/>
      <c r="R27" s="416"/>
      <c r="S27" s="416"/>
      <c r="T27" s="416"/>
      <c r="U27" s="416"/>
      <c r="V27" s="416"/>
      <c r="W27" s="416"/>
      <c r="X27" s="416"/>
      <c r="Y27" s="416"/>
      <c r="Z27" s="416"/>
      <c r="AA27" s="416"/>
      <c r="AB27" s="416"/>
      <c r="AC27" s="416"/>
      <c r="AD27" s="416"/>
      <c r="AE27" s="416"/>
      <c r="AF27" s="416"/>
      <c r="AG27" s="416"/>
      <c r="AH27" s="416"/>
      <c r="AI27" s="416"/>
      <c r="AJ27" s="416"/>
      <c r="AK27" s="424"/>
      <c r="AL27" s="416"/>
      <c r="AM27" s="416"/>
      <c r="AN27" s="416"/>
      <c r="AO27" s="416"/>
      <c r="AP27" s="416"/>
      <c r="AQ27" s="416"/>
      <c r="AR27" s="416"/>
      <c r="AS27" s="416"/>
      <c r="AT27" s="416"/>
      <c r="AU27" s="416"/>
      <c r="AV27" s="416"/>
      <c r="AW27" s="416"/>
      <c r="AX27" s="416"/>
      <c r="AY27" s="416"/>
      <c r="AZ27" s="416"/>
      <c r="BA27" s="416"/>
      <c r="BB27" s="416"/>
      <c r="BC27" s="416"/>
      <c r="BD27" s="416"/>
      <c r="BE27" s="411"/>
      <c r="BF27" s="411"/>
      <c r="BG27" s="411"/>
      <c r="BH27" s="411"/>
      <c r="BI27" s="411"/>
      <c r="BJ27" s="411"/>
      <c r="BK27" s="411"/>
      <c r="BL27" s="411"/>
      <c r="BM27" s="411"/>
      <c r="BN27" s="411"/>
      <c r="BO27" s="411"/>
      <c r="BP27" s="411"/>
      <c r="BQ27" s="411"/>
      <c r="BR27" s="411"/>
      <c r="BS27" s="411"/>
      <c r="BT27" s="411"/>
      <c r="BU27" s="411"/>
      <c r="BV27" s="411"/>
      <c r="BW27" s="411"/>
      <c r="BX27" s="411"/>
      <c r="BY27" s="411"/>
      <c r="BZ27" s="411"/>
      <c r="CA27" s="411"/>
      <c r="CB27" s="411"/>
      <c r="CC27" s="411"/>
      <c r="CD27" s="411"/>
      <c r="CE27" s="411"/>
      <c r="CF27" s="411"/>
      <c r="CG27" s="411"/>
      <c r="CH27" s="411"/>
      <c r="CI27" s="411"/>
      <c r="CJ27" s="411"/>
      <c r="CK27" s="411"/>
      <c r="CL27" s="411"/>
      <c r="CM27" s="411"/>
      <c r="CN27" s="411"/>
      <c r="CO27" s="411"/>
      <c r="CP27" s="411"/>
      <c r="CQ27" s="411"/>
      <c r="CR27" s="411"/>
      <c r="CS27" s="411"/>
      <c r="CT27" s="411"/>
      <c r="CU27" s="411"/>
      <c r="CV27" s="411"/>
      <c r="CW27" s="411"/>
      <c r="CX27" s="411"/>
      <c r="CY27" s="411"/>
      <c r="CZ27" s="411"/>
      <c r="DA27" s="411"/>
      <c r="DB27" s="411"/>
      <c r="DC27" s="411"/>
      <c r="DD27" s="411"/>
      <c r="DE27" s="411"/>
      <c r="DF27" s="411"/>
      <c r="DG27" s="411"/>
      <c r="DH27" s="411"/>
      <c r="DI27" s="411"/>
      <c r="DJ27" s="411"/>
      <c r="DK27" s="411"/>
      <c r="DL27" s="411"/>
      <c r="DM27" s="411"/>
      <c r="DN27" s="411"/>
      <c r="DO27" s="411"/>
      <c r="DP27" s="411"/>
      <c r="DQ27" s="411"/>
      <c r="DR27" s="411"/>
      <c r="DS27" s="411"/>
      <c r="DT27" s="411"/>
      <c r="DU27" s="411"/>
      <c r="DV27" s="411"/>
      <c r="DW27" s="411"/>
      <c r="DX27" s="411"/>
      <c r="DY27" s="411"/>
      <c r="DZ27" s="411"/>
      <c r="EA27" s="411"/>
      <c r="EB27" s="411"/>
      <c r="EC27" s="411"/>
      <c r="ED27" s="411"/>
      <c r="EE27" s="411"/>
      <c r="EF27" s="411"/>
      <c r="EG27" s="411"/>
    </row>
    <row r="28" spans="1:137" s="352" customFormat="1" ht="12" customHeight="1">
      <c r="A28" s="276"/>
      <c r="B28" s="129" t="str">
        <f>UPPER(LEFT(TRIM(Data!B25),1)) &amp; MID(TRIM(Data!B25),2,50)</f>
        <v>Gimdos kaklelio</v>
      </c>
      <c r="C28" s="129" t="str">
        <f>Data!C25</f>
        <v>C53</v>
      </c>
      <c r="D28" s="130">
        <f>Lent02m!D26</f>
        <v>380</v>
      </c>
      <c r="E28" s="131">
        <f>Lent02m!E26</f>
        <v>24.25050000701988</v>
      </c>
      <c r="F28" s="132">
        <f>Lent02m!F26</f>
        <v>19.925077149030663</v>
      </c>
      <c r="G28" s="133">
        <f>Lent02m!G26</f>
        <v>15.49104721054389</v>
      </c>
      <c r="H28" s="281"/>
      <c r="I28" s="281"/>
      <c r="J28" s="281"/>
      <c r="K28" s="281"/>
      <c r="L28" s="281"/>
      <c r="M28" s="281"/>
      <c r="N28" s="281"/>
      <c r="O28" s="277"/>
      <c r="P28" s="360"/>
      <c r="Q28" s="424"/>
      <c r="R28" s="416"/>
      <c r="S28" s="416"/>
      <c r="T28" s="416"/>
      <c r="U28" s="416"/>
      <c r="V28" s="416"/>
      <c r="W28" s="416"/>
      <c r="X28" s="416"/>
      <c r="Y28" s="416"/>
      <c r="Z28" s="416"/>
      <c r="AA28" s="416"/>
      <c r="AB28" s="416"/>
      <c r="AC28" s="416"/>
      <c r="AD28" s="416"/>
      <c r="AE28" s="416"/>
      <c r="AF28" s="416"/>
      <c r="AG28" s="416"/>
      <c r="AH28" s="416"/>
      <c r="AI28" s="416"/>
      <c r="AJ28" s="416"/>
      <c r="AK28" s="424"/>
      <c r="AL28" s="416"/>
      <c r="AM28" s="416"/>
      <c r="AN28" s="416"/>
      <c r="AO28" s="416"/>
      <c r="AP28" s="416"/>
      <c r="AQ28" s="416"/>
      <c r="AR28" s="416"/>
      <c r="AS28" s="416"/>
      <c r="AT28" s="416"/>
      <c r="AU28" s="416"/>
      <c r="AV28" s="416"/>
      <c r="AW28" s="416"/>
      <c r="AX28" s="416"/>
      <c r="AY28" s="416"/>
      <c r="AZ28" s="416"/>
      <c r="BA28" s="416"/>
      <c r="BB28" s="416"/>
      <c r="BC28" s="416"/>
      <c r="BD28" s="416"/>
      <c r="BE28" s="411"/>
      <c r="BF28" s="411"/>
      <c r="BG28" s="411"/>
      <c r="BH28" s="411"/>
      <c r="BI28" s="411"/>
      <c r="BJ28" s="411"/>
      <c r="BK28" s="411"/>
      <c r="BL28" s="411"/>
      <c r="BM28" s="411"/>
      <c r="BN28" s="411"/>
      <c r="BO28" s="411"/>
      <c r="BP28" s="411"/>
      <c r="BQ28" s="411"/>
      <c r="BR28" s="411"/>
      <c r="BS28" s="411"/>
      <c r="BT28" s="411"/>
      <c r="BU28" s="411"/>
      <c r="BV28" s="411"/>
      <c r="BW28" s="411"/>
      <c r="BX28" s="411"/>
      <c r="BY28" s="411"/>
      <c r="BZ28" s="411"/>
      <c r="CA28" s="411"/>
      <c r="CB28" s="411"/>
      <c r="CC28" s="411"/>
      <c r="CD28" s="411"/>
      <c r="CE28" s="411"/>
      <c r="CF28" s="411"/>
      <c r="CG28" s="411"/>
      <c r="CH28" s="411"/>
      <c r="CI28" s="411"/>
      <c r="CJ28" s="411"/>
      <c r="CK28" s="411"/>
      <c r="CL28" s="411"/>
      <c r="CM28" s="411"/>
      <c r="CN28" s="411"/>
      <c r="CO28" s="411"/>
      <c r="CP28" s="411"/>
      <c r="CQ28" s="411"/>
      <c r="CR28" s="411"/>
      <c r="CS28" s="411"/>
      <c r="CT28" s="411"/>
      <c r="CU28" s="411"/>
      <c r="CV28" s="411"/>
      <c r="CW28" s="411"/>
      <c r="CX28" s="411"/>
      <c r="CY28" s="411"/>
      <c r="CZ28" s="411"/>
      <c r="DA28" s="411"/>
      <c r="DB28" s="411"/>
      <c r="DC28" s="411"/>
      <c r="DD28" s="411"/>
      <c r="DE28" s="411"/>
      <c r="DF28" s="411"/>
      <c r="DG28" s="411"/>
      <c r="DH28" s="411"/>
      <c r="DI28" s="411"/>
      <c r="DJ28" s="411"/>
      <c r="DK28" s="411"/>
      <c r="DL28" s="411"/>
      <c r="DM28" s="411"/>
      <c r="DN28" s="411"/>
      <c r="DO28" s="411"/>
      <c r="DP28" s="411"/>
      <c r="DQ28" s="411"/>
      <c r="DR28" s="411"/>
      <c r="DS28" s="411"/>
      <c r="DT28" s="411"/>
      <c r="DU28" s="411"/>
      <c r="DV28" s="411"/>
      <c r="DW28" s="411"/>
      <c r="DX28" s="411"/>
      <c r="DY28" s="411"/>
      <c r="DZ28" s="411"/>
      <c r="EA28" s="411"/>
      <c r="EB28" s="411"/>
      <c r="EC28" s="411"/>
      <c r="ED28" s="411"/>
      <c r="EE28" s="411"/>
      <c r="EF28" s="411"/>
      <c r="EG28" s="411"/>
    </row>
    <row r="29" spans="1:137" s="352" customFormat="1" ht="12" customHeight="1">
      <c r="A29" s="276"/>
      <c r="B29" s="283" t="str">
        <f>UPPER(LEFT(TRIM(Data!B26),1)) &amp; MID(TRIM(Data!B26),2,50)</f>
        <v>Gimdos kūno</v>
      </c>
      <c r="C29" s="283" t="str">
        <f>Data!C26</f>
        <v>C54, C55</v>
      </c>
      <c r="D29" s="284">
        <f>Lent02m!D27</f>
        <v>615</v>
      </c>
      <c r="E29" s="285">
        <f>Lent02m!E27</f>
        <v>39.247519748203231</v>
      </c>
      <c r="F29" s="286">
        <f>Lent02m!F27</f>
        <v>27.216739970541816</v>
      </c>
      <c r="G29" s="286">
        <f>Lent02m!G27</f>
        <v>19.66116399307386</v>
      </c>
      <c r="H29" s="281"/>
      <c r="I29" s="281"/>
      <c r="J29" s="281"/>
      <c r="K29" s="281"/>
      <c r="L29" s="281"/>
      <c r="M29" s="281"/>
      <c r="N29" s="281"/>
      <c r="O29" s="277"/>
      <c r="P29" s="360"/>
      <c r="Q29" s="424"/>
      <c r="R29" s="416"/>
      <c r="S29" s="416"/>
      <c r="T29" s="416"/>
      <c r="U29" s="416"/>
      <c r="V29" s="416"/>
      <c r="W29" s="416"/>
      <c r="X29" s="416"/>
      <c r="Y29" s="416"/>
      <c r="Z29" s="416"/>
      <c r="AA29" s="416"/>
      <c r="AB29" s="416"/>
      <c r="AC29" s="416"/>
      <c r="AD29" s="416"/>
      <c r="AE29" s="416"/>
      <c r="AF29" s="416"/>
      <c r="AG29" s="416"/>
      <c r="AH29" s="416"/>
      <c r="AI29" s="416"/>
      <c r="AJ29" s="416"/>
      <c r="AK29" s="424"/>
      <c r="AL29" s="416"/>
      <c r="AM29" s="416"/>
      <c r="AN29" s="416"/>
      <c r="AO29" s="416"/>
      <c r="AP29" s="416"/>
      <c r="AQ29" s="416"/>
      <c r="AR29" s="416"/>
      <c r="AS29" s="416"/>
      <c r="AT29" s="416"/>
      <c r="AU29" s="416"/>
      <c r="AV29" s="416"/>
      <c r="AW29" s="416"/>
      <c r="AX29" s="416"/>
      <c r="AY29" s="416"/>
      <c r="AZ29" s="416"/>
      <c r="BA29" s="416"/>
      <c r="BB29" s="416"/>
      <c r="BC29" s="416"/>
      <c r="BD29" s="416"/>
      <c r="BE29" s="411"/>
      <c r="BF29" s="411"/>
      <c r="BG29" s="411"/>
      <c r="BH29" s="411"/>
      <c r="BI29" s="411"/>
      <c r="BJ29" s="411"/>
      <c r="BK29" s="411"/>
      <c r="BL29" s="411"/>
      <c r="BM29" s="411"/>
      <c r="BN29" s="411"/>
      <c r="BO29" s="411"/>
      <c r="BP29" s="411"/>
      <c r="BQ29" s="411"/>
      <c r="BR29" s="411"/>
      <c r="BS29" s="411"/>
      <c r="BT29" s="411"/>
      <c r="BU29" s="411"/>
      <c r="BV29" s="411"/>
      <c r="BW29" s="411"/>
      <c r="BX29" s="411"/>
      <c r="BY29" s="411"/>
      <c r="BZ29" s="411"/>
      <c r="CA29" s="411"/>
      <c r="CB29" s="411"/>
      <c r="CC29" s="411"/>
      <c r="CD29" s="411"/>
      <c r="CE29" s="411"/>
      <c r="CF29" s="411"/>
      <c r="CG29" s="411"/>
      <c r="CH29" s="411"/>
      <c r="CI29" s="411"/>
      <c r="CJ29" s="411"/>
      <c r="CK29" s="411"/>
      <c r="CL29" s="411"/>
      <c r="CM29" s="411"/>
      <c r="CN29" s="411"/>
      <c r="CO29" s="411"/>
      <c r="CP29" s="411"/>
      <c r="CQ29" s="411"/>
      <c r="CR29" s="411"/>
      <c r="CS29" s="411"/>
      <c r="CT29" s="411"/>
      <c r="CU29" s="411"/>
      <c r="CV29" s="411"/>
      <c r="CW29" s="411"/>
      <c r="CX29" s="411"/>
      <c r="CY29" s="411"/>
      <c r="CZ29" s="411"/>
      <c r="DA29" s="411"/>
      <c r="DB29" s="411"/>
      <c r="DC29" s="411"/>
      <c r="DD29" s="411"/>
      <c r="DE29" s="411"/>
      <c r="DF29" s="411"/>
      <c r="DG29" s="411"/>
      <c r="DH29" s="411"/>
      <c r="DI29" s="411"/>
      <c r="DJ29" s="411"/>
      <c r="DK29" s="411"/>
      <c r="DL29" s="411"/>
      <c r="DM29" s="411"/>
      <c r="DN29" s="411"/>
      <c r="DO29" s="411"/>
      <c r="DP29" s="411"/>
      <c r="DQ29" s="411"/>
      <c r="DR29" s="411"/>
      <c r="DS29" s="411"/>
      <c r="DT29" s="411"/>
      <c r="DU29" s="411"/>
      <c r="DV29" s="411"/>
      <c r="DW29" s="411"/>
      <c r="DX29" s="411"/>
      <c r="DY29" s="411"/>
      <c r="DZ29" s="411"/>
      <c r="EA29" s="411"/>
      <c r="EB29" s="411"/>
      <c r="EC29" s="411"/>
      <c r="ED29" s="411"/>
      <c r="EE29" s="411"/>
      <c r="EF29" s="411"/>
      <c r="EG29" s="411"/>
    </row>
    <row r="30" spans="1:137" s="352" customFormat="1" ht="12" customHeight="1">
      <c r="A30" s="276"/>
      <c r="B30" s="129" t="str">
        <f>UPPER(LEFT(TRIM(Data!B27),1)) &amp; MID(TRIM(Data!B27),2,50)</f>
        <v>Kiaušidžių</v>
      </c>
      <c r="C30" s="129" t="str">
        <f>Data!C27</f>
        <v>C56</v>
      </c>
      <c r="D30" s="130">
        <f>Lent02m!D28</f>
        <v>385</v>
      </c>
      <c r="E30" s="131">
        <f>Lent02m!E28</f>
        <v>24.56958553342804</v>
      </c>
      <c r="F30" s="132">
        <f>Lent02m!F28</f>
        <v>16.896687208268439</v>
      </c>
      <c r="G30" s="133">
        <f>Lent02m!G28</f>
        <v>12.68717316732293</v>
      </c>
      <c r="H30" s="281"/>
      <c r="I30" s="281"/>
      <c r="J30" s="281"/>
      <c r="K30" s="281"/>
      <c r="L30" s="281"/>
      <c r="M30" s="281"/>
      <c r="N30" s="281"/>
      <c r="O30" s="277"/>
      <c r="P30" s="360"/>
      <c r="Q30" s="424"/>
      <c r="R30" s="416"/>
      <c r="S30" s="416"/>
      <c r="T30" s="416"/>
      <c r="U30" s="416"/>
      <c r="V30" s="416"/>
      <c r="W30" s="416"/>
      <c r="X30" s="416"/>
      <c r="Y30" s="416"/>
      <c r="Z30" s="416"/>
      <c r="AA30" s="416"/>
      <c r="AB30" s="416"/>
      <c r="AC30" s="416"/>
      <c r="AD30" s="416"/>
      <c r="AE30" s="416"/>
      <c r="AF30" s="416"/>
      <c r="AG30" s="416"/>
      <c r="AH30" s="416"/>
      <c r="AI30" s="416"/>
      <c r="AJ30" s="416"/>
      <c r="AK30" s="424"/>
      <c r="AL30" s="416"/>
      <c r="AM30" s="416"/>
      <c r="AN30" s="416"/>
      <c r="AO30" s="416"/>
      <c r="AP30" s="416"/>
      <c r="AQ30" s="416"/>
      <c r="AR30" s="416"/>
      <c r="AS30" s="416"/>
      <c r="AT30" s="416"/>
      <c r="AU30" s="416"/>
      <c r="AV30" s="416"/>
      <c r="AW30" s="416"/>
      <c r="AX30" s="416"/>
      <c r="AY30" s="416"/>
      <c r="AZ30" s="416"/>
      <c r="BA30" s="416"/>
      <c r="BB30" s="416"/>
      <c r="BC30" s="416"/>
      <c r="BD30" s="416"/>
      <c r="BE30" s="411"/>
      <c r="BF30" s="411"/>
      <c r="BG30" s="411"/>
      <c r="BH30" s="411"/>
      <c r="BI30" s="411"/>
      <c r="BJ30" s="411"/>
      <c r="BK30" s="411"/>
      <c r="BL30" s="411"/>
      <c r="BM30" s="411"/>
      <c r="BN30" s="411"/>
      <c r="BO30" s="411"/>
      <c r="BP30" s="411"/>
      <c r="BQ30" s="411"/>
      <c r="BR30" s="411"/>
      <c r="BS30" s="411"/>
      <c r="BT30" s="411"/>
      <c r="BU30" s="411"/>
      <c r="BV30" s="411"/>
      <c r="BW30" s="411"/>
      <c r="BX30" s="411"/>
      <c r="BY30" s="411"/>
      <c r="BZ30" s="411"/>
      <c r="CA30" s="411"/>
      <c r="CB30" s="411"/>
      <c r="CC30" s="411"/>
      <c r="CD30" s="411"/>
      <c r="CE30" s="411"/>
      <c r="CF30" s="411"/>
      <c r="CG30" s="411"/>
      <c r="CH30" s="411"/>
      <c r="CI30" s="411"/>
      <c r="CJ30" s="411"/>
      <c r="CK30" s="411"/>
      <c r="CL30" s="411"/>
      <c r="CM30" s="411"/>
      <c r="CN30" s="411"/>
      <c r="CO30" s="411"/>
      <c r="CP30" s="411"/>
      <c r="CQ30" s="411"/>
      <c r="CR30" s="411"/>
      <c r="CS30" s="411"/>
      <c r="CT30" s="411"/>
      <c r="CU30" s="411"/>
      <c r="CV30" s="411"/>
      <c r="CW30" s="411"/>
      <c r="CX30" s="411"/>
      <c r="CY30" s="411"/>
      <c r="CZ30" s="411"/>
      <c r="DA30" s="411"/>
      <c r="DB30" s="411"/>
      <c r="DC30" s="411"/>
      <c r="DD30" s="411"/>
      <c r="DE30" s="411"/>
      <c r="DF30" s="411"/>
      <c r="DG30" s="411"/>
      <c r="DH30" s="411"/>
      <c r="DI30" s="411"/>
      <c r="DJ30" s="411"/>
      <c r="DK30" s="411"/>
      <c r="DL30" s="411"/>
      <c r="DM30" s="411"/>
      <c r="DN30" s="411"/>
      <c r="DO30" s="411"/>
      <c r="DP30" s="411"/>
      <c r="DQ30" s="411"/>
      <c r="DR30" s="411"/>
      <c r="DS30" s="411"/>
      <c r="DT30" s="411"/>
      <c r="DU30" s="411"/>
      <c r="DV30" s="411"/>
      <c r="DW30" s="411"/>
      <c r="DX30" s="411"/>
      <c r="DY30" s="411"/>
      <c r="DZ30" s="411"/>
      <c r="EA30" s="411"/>
      <c r="EB30" s="411"/>
      <c r="EC30" s="411"/>
      <c r="ED30" s="411"/>
      <c r="EE30" s="411"/>
      <c r="EF30" s="411"/>
      <c r="EG30" s="411"/>
    </row>
    <row r="31" spans="1:137" s="352" customFormat="1" ht="12" customHeight="1">
      <c r="A31" s="276"/>
      <c r="B31" s="283" t="str">
        <f>UPPER(LEFT(TRIM(Data!B28),1)) &amp; MID(TRIM(Data!B28),2,50)</f>
        <v>Priešinės liaukos</v>
      </c>
      <c r="C31" s="283" t="str">
        <f>Data!C28</f>
        <v>C61</v>
      </c>
      <c r="D31" s="284">
        <f>Lent02v!D25</f>
        <v>2967</v>
      </c>
      <c r="E31" s="285">
        <f>Lent02v!E25</f>
        <v>221.7601492452531</v>
      </c>
      <c r="F31" s="286">
        <f>Lent02v!F25</f>
        <v>188.46035501880945</v>
      </c>
      <c r="G31" s="286">
        <f>Lent02v!G25</f>
        <v>131.20719014405944</v>
      </c>
      <c r="H31" s="281"/>
      <c r="I31" s="281"/>
      <c r="J31" s="281"/>
      <c r="K31" s="281"/>
      <c r="L31" s="281"/>
      <c r="M31" s="281"/>
      <c r="N31" s="281"/>
      <c r="O31" s="277"/>
      <c r="P31" s="360"/>
      <c r="Q31" s="424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J31" s="416"/>
      <c r="AK31" s="424"/>
      <c r="AL31" s="416"/>
      <c r="AM31" s="416"/>
      <c r="AN31" s="416"/>
      <c r="AO31" s="416"/>
      <c r="AP31" s="416"/>
      <c r="AQ31" s="416"/>
      <c r="AR31" s="416"/>
      <c r="AS31" s="416"/>
      <c r="AT31" s="416"/>
      <c r="AU31" s="416"/>
      <c r="AV31" s="416"/>
      <c r="AW31" s="416"/>
      <c r="AX31" s="416"/>
      <c r="AY31" s="416"/>
      <c r="AZ31" s="416"/>
      <c r="BA31" s="416"/>
      <c r="BB31" s="416"/>
      <c r="BC31" s="416"/>
      <c r="BD31" s="416"/>
      <c r="BE31" s="411"/>
      <c r="BF31" s="411"/>
      <c r="BG31" s="411"/>
      <c r="BH31" s="411"/>
      <c r="BI31" s="411"/>
      <c r="BJ31" s="411"/>
      <c r="BK31" s="411"/>
      <c r="BL31" s="411"/>
      <c r="BM31" s="411"/>
      <c r="BN31" s="411"/>
      <c r="BO31" s="411"/>
      <c r="BP31" s="411"/>
      <c r="BQ31" s="411"/>
      <c r="BR31" s="411"/>
      <c r="BS31" s="411"/>
      <c r="BT31" s="411"/>
      <c r="BU31" s="411"/>
      <c r="BV31" s="411"/>
      <c r="BW31" s="411"/>
      <c r="BX31" s="411"/>
      <c r="BY31" s="411"/>
      <c r="BZ31" s="411"/>
      <c r="CA31" s="411"/>
      <c r="CB31" s="411"/>
      <c r="CC31" s="411"/>
      <c r="CD31" s="411"/>
      <c r="CE31" s="411"/>
      <c r="CF31" s="411"/>
      <c r="CG31" s="411"/>
      <c r="CH31" s="411"/>
      <c r="CI31" s="411"/>
      <c r="CJ31" s="411"/>
      <c r="CK31" s="411"/>
      <c r="CL31" s="411"/>
      <c r="CM31" s="411"/>
      <c r="CN31" s="411"/>
      <c r="CO31" s="411"/>
      <c r="CP31" s="411"/>
      <c r="CQ31" s="411"/>
      <c r="CR31" s="411"/>
      <c r="CS31" s="411"/>
      <c r="CT31" s="411"/>
      <c r="CU31" s="411"/>
      <c r="CV31" s="411"/>
      <c r="CW31" s="411"/>
      <c r="CX31" s="411"/>
      <c r="CY31" s="411"/>
      <c r="CZ31" s="411"/>
      <c r="DA31" s="411"/>
      <c r="DB31" s="411"/>
      <c r="DC31" s="411"/>
      <c r="DD31" s="411"/>
      <c r="DE31" s="411"/>
      <c r="DF31" s="411"/>
      <c r="DG31" s="411"/>
      <c r="DH31" s="411"/>
      <c r="DI31" s="411"/>
      <c r="DJ31" s="411"/>
      <c r="DK31" s="411"/>
      <c r="DL31" s="411"/>
      <c r="DM31" s="411"/>
      <c r="DN31" s="411"/>
      <c r="DO31" s="411"/>
      <c r="DP31" s="411"/>
      <c r="DQ31" s="411"/>
      <c r="DR31" s="411"/>
      <c r="DS31" s="411"/>
      <c r="DT31" s="411"/>
      <c r="DU31" s="411"/>
      <c r="DV31" s="411"/>
      <c r="DW31" s="411"/>
      <c r="DX31" s="411"/>
      <c r="DY31" s="411"/>
      <c r="DZ31" s="411"/>
      <c r="EA31" s="411"/>
      <c r="EB31" s="411"/>
      <c r="EC31" s="411"/>
      <c r="ED31" s="411"/>
      <c r="EE31" s="411"/>
      <c r="EF31" s="411"/>
      <c r="EG31" s="411"/>
    </row>
    <row r="32" spans="1:137" s="352" customFormat="1" ht="12" customHeight="1">
      <c r="A32" s="276"/>
      <c r="B32" s="129" t="str">
        <f>UPPER(LEFT(TRIM(Data!B29),1)) &amp; MID(TRIM(Data!B29),2,50)</f>
        <v>Sėklidžių</v>
      </c>
      <c r="C32" s="129" t="str">
        <f>Data!C29</f>
        <v>C62</v>
      </c>
      <c r="D32" s="130">
        <f>Lent02v!D26</f>
        <v>29</v>
      </c>
      <c r="E32" s="131">
        <f>Lent02v!E26</f>
        <v>2.1675242090031479</v>
      </c>
      <c r="F32" s="132">
        <f>Lent02v!F26</f>
        <v>2.1059978378028013</v>
      </c>
      <c r="G32" s="133">
        <f>Lent02v!G26</f>
        <v>2.0193503177030605</v>
      </c>
      <c r="H32" s="281"/>
      <c r="I32" s="281"/>
      <c r="J32" s="281"/>
      <c r="K32" s="281"/>
      <c r="L32" s="281"/>
      <c r="M32" s="281"/>
      <c r="N32" s="281"/>
      <c r="O32" s="277"/>
      <c r="P32" s="360"/>
      <c r="Q32" s="424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6"/>
      <c r="AC32" s="416"/>
      <c r="AD32" s="416"/>
      <c r="AE32" s="416"/>
      <c r="AF32" s="416"/>
      <c r="AG32" s="416"/>
      <c r="AH32" s="416"/>
      <c r="AI32" s="416"/>
      <c r="AJ32" s="416"/>
      <c r="AK32" s="424"/>
      <c r="AL32" s="416"/>
      <c r="AM32" s="416"/>
      <c r="AN32" s="416"/>
      <c r="AO32" s="416"/>
      <c r="AP32" s="416"/>
      <c r="AQ32" s="416"/>
      <c r="AR32" s="416"/>
      <c r="AS32" s="416"/>
      <c r="AT32" s="416"/>
      <c r="AU32" s="416"/>
      <c r="AV32" s="416"/>
      <c r="AW32" s="416"/>
      <c r="AX32" s="416"/>
      <c r="AY32" s="416"/>
      <c r="AZ32" s="416"/>
      <c r="BA32" s="416"/>
      <c r="BB32" s="416"/>
      <c r="BC32" s="416"/>
      <c r="BD32" s="416"/>
      <c r="BE32" s="411"/>
      <c r="BF32" s="411"/>
      <c r="BG32" s="411"/>
      <c r="BH32" s="411"/>
      <c r="BI32" s="411"/>
      <c r="BJ32" s="411"/>
      <c r="BK32" s="411"/>
      <c r="BL32" s="411"/>
      <c r="BM32" s="411"/>
      <c r="BN32" s="411"/>
      <c r="BO32" s="411"/>
      <c r="BP32" s="411"/>
      <c r="BQ32" s="411"/>
      <c r="BR32" s="411"/>
      <c r="BS32" s="411"/>
      <c r="BT32" s="411"/>
      <c r="BU32" s="411"/>
      <c r="BV32" s="411"/>
      <c r="BW32" s="411"/>
      <c r="BX32" s="411"/>
      <c r="BY32" s="411"/>
      <c r="BZ32" s="411"/>
      <c r="CA32" s="411"/>
      <c r="CB32" s="411"/>
      <c r="CC32" s="411"/>
      <c r="CD32" s="411"/>
      <c r="CE32" s="411"/>
      <c r="CF32" s="411"/>
      <c r="CG32" s="411"/>
      <c r="CH32" s="411"/>
      <c r="CI32" s="411"/>
      <c r="CJ32" s="411"/>
      <c r="CK32" s="411"/>
      <c r="CL32" s="411"/>
      <c r="CM32" s="411"/>
      <c r="CN32" s="411"/>
      <c r="CO32" s="411"/>
      <c r="CP32" s="411"/>
      <c r="CQ32" s="411"/>
      <c r="CR32" s="411"/>
      <c r="CS32" s="411"/>
      <c r="CT32" s="411"/>
      <c r="CU32" s="411"/>
      <c r="CV32" s="411"/>
      <c r="CW32" s="411"/>
      <c r="CX32" s="411"/>
      <c r="CY32" s="411"/>
      <c r="CZ32" s="411"/>
      <c r="DA32" s="411"/>
      <c r="DB32" s="411"/>
      <c r="DC32" s="411"/>
      <c r="DD32" s="411"/>
      <c r="DE32" s="411"/>
      <c r="DF32" s="411"/>
      <c r="DG32" s="411"/>
      <c r="DH32" s="411"/>
      <c r="DI32" s="411"/>
      <c r="DJ32" s="411"/>
      <c r="DK32" s="411"/>
      <c r="DL32" s="411"/>
      <c r="DM32" s="411"/>
      <c r="DN32" s="411"/>
      <c r="DO32" s="411"/>
      <c r="DP32" s="411"/>
      <c r="DQ32" s="411"/>
      <c r="DR32" s="411"/>
      <c r="DS32" s="411"/>
      <c r="DT32" s="411"/>
      <c r="DU32" s="411"/>
      <c r="DV32" s="411"/>
      <c r="DW32" s="411"/>
      <c r="DX32" s="411"/>
      <c r="DY32" s="411"/>
      <c r="DZ32" s="411"/>
      <c r="EA32" s="411"/>
      <c r="EB32" s="411"/>
      <c r="EC32" s="411"/>
      <c r="ED32" s="411"/>
      <c r="EE32" s="411"/>
      <c r="EF32" s="411"/>
      <c r="EG32" s="411"/>
    </row>
    <row r="33" spans="1:137" s="352" customFormat="1" ht="12" customHeight="1">
      <c r="A33" s="276"/>
      <c r="B33" s="283" t="str">
        <f>UPPER(LEFT(TRIM(Data!B30),1)) &amp; MID(TRIM(Data!B30),2,50)</f>
        <v>Kitų lyties organų</v>
      </c>
      <c r="C33" s="283" t="str">
        <f>Data!C30</f>
        <v>C52, C57-C58, C60, C63</v>
      </c>
      <c r="D33" s="284">
        <f>Data!D30+Data!BQ30</f>
        <v>58</v>
      </c>
      <c r="E33" s="285">
        <f t="shared" si="5"/>
        <v>1.9966195166115301</v>
      </c>
      <c r="F33" s="286">
        <f t="shared" si="6"/>
        <v>1.3316150280578227</v>
      </c>
      <c r="G33" s="286">
        <f t="shared" si="7"/>
        <v>0.91159721785234793</v>
      </c>
      <c r="H33" s="281"/>
      <c r="I33" s="281"/>
      <c r="J33" s="281"/>
      <c r="K33" s="281"/>
      <c r="L33" s="281"/>
      <c r="M33" s="281"/>
      <c r="N33" s="281"/>
      <c r="O33" s="277"/>
      <c r="P33" s="360"/>
      <c r="Q33" s="424" t="s">
        <v>353</v>
      </c>
      <c r="R33" s="416">
        <f t="shared" si="3"/>
        <v>133161.50280578228</v>
      </c>
      <c r="S33" s="416">
        <f>(Data!Q30+Data!CD30)/S$6*100000*S$3</f>
        <v>0</v>
      </c>
      <c r="T33" s="416">
        <f>(Data!R30+Data!CE30)/T$6*100000*T$3</f>
        <v>0</v>
      </c>
      <c r="U33" s="416">
        <f>(Data!S30+Data!CF30)/U$6*100000*U$3</f>
        <v>0</v>
      </c>
      <c r="V33" s="416">
        <f>(Data!T30+Data!CG30)/V$6*100000*V$3</f>
        <v>0</v>
      </c>
      <c r="W33" s="416">
        <f>(Data!U30+Data!CH30)/W$6*100000*W$3</f>
        <v>0</v>
      </c>
      <c r="X33" s="416">
        <f>(Data!V30+Data!CI30)/X$6*100000*X$3</f>
        <v>0</v>
      </c>
      <c r="Y33" s="416">
        <f>(Data!W30+Data!CJ30)/Y$6*100000*Y$3</f>
        <v>0</v>
      </c>
      <c r="Z33" s="416">
        <f>(Data!X30+Data!CK30)/Z$6*100000*Z$3</f>
        <v>0</v>
      </c>
      <c r="AA33" s="416">
        <f>(Data!Y30+Data!CL30)/AA$6*100000*AA$3</f>
        <v>0</v>
      </c>
      <c r="AB33" s="416">
        <f>(Data!Z30+Data!CM30)/AB$6*100000*AB$3</f>
        <v>16841.497449716102</v>
      </c>
      <c r="AC33" s="416">
        <f>(Data!AA30+Data!CN30)/AC$6*100000*AC$3</f>
        <v>15542.292799033716</v>
      </c>
      <c r="AD33" s="416">
        <f>(Data!AB30+Data!CO30)/AD$6*100000*AD$3</f>
        <v>16882.465215087297</v>
      </c>
      <c r="AE33" s="416">
        <f>(Data!AC30+Data!CP30)/AE$6*100000*AE$3</f>
        <v>14650.81253406314</v>
      </c>
      <c r="AF33" s="416">
        <f>(Data!AD30+Data!CQ30)/AF$6*100000*AF$3</f>
        <v>27537.020081371891</v>
      </c>
      <c r="AG33" s="416">
        <f>(Data!AE30+Data!CR30)/AG$6*100000*AG$3</f>
        <v>6842.4934045966347</v>
      </c>
      <c r="AH33" s="416">
        <f>(Data!AF30+Data!CS30)/AH$6*100000*AH$3</f>
        <v>11614.498212196884</v>
      </c>
      <c r="AI33" s="416">
        <f>(Data!AG30+Data!CT30)/AI$6*100000*AI$3</f>
        <v>9309.6867290415685</v>
      </c>
      <c r="AJ33" s="416">
        <f>(Data!AH30+Data!CU30)/AJ$6*100000*AJ$3</f>
        <v>13940.736380675042</v>
      </c>
      <c r="AK33" s="424" t="s">
        <v>353</v>
      </c>
      <c r="AL33" s="416">
        <f t="shared" si="4"/>
        <v>91159.721785234797</v>
      </c>
      <c r="AM33" s="416">
        <f>(Data!Q30+Data!CD30)/AM$6*100000*AM$3</f>
        <v>0</v>
      </c>
      <c r="AN33" s="416">
        <f>(Data!R30+Data!CE30)/AN$6*100000*AN$3</f>
        <v>0</v>
      </c>
      <c r="AO33" s="416">
        <f>(Data!S30+Data!CF30)/AO$6*100000*AO$3</f>
        <v>0</v>
      </c>
      <c r="AP33" s="416">
        <f>(Data!T30+Data!CG30)/AP$6*100000*AP$3</f>
        <v>0</v>
      </c>
      <c r="AQ33" s="416">
        <f>(Data!U30+Data!CH30)/AQ$6*100000*AQ$3</f>
        <v>0</v>
      </c>
      <c r="AR33" s="416">
        <f>(Data!V30+Data!CI30)/AR$6*100000*AR$3</f>
        <v>0</v>
      </c>
      <c r="AS33" s="416">
        <f>(Data!W30+Data!CJ30)/AS$6*100000*AS$3</f>
        <v>0</v>
      </c>
      <c r="AT33" s="416">
        <f>(Data!X30+Data!CK30)/AT$6*100000*AT$3</f>
        <v>0</v>
      </c>
      <c r="AU33" s="416">
        <f>(Data!Y30+Data!CL30)/AU$6*100000*AU$3</f>
        <v>0</v>
      </c>
      <c r="AV33" s="416">
        <f>(Data!Z30+Data!CM30)/AV$6*100000*AV$3</f>
        <v>14435.569242613799</v>
      </c>
      <c r="AW33" s="416">
        <f>(Data!AA30+Data!CN30)/AW$6*100000*AW$3</f>
        <v>11101.637713595512</v>
      </c>
      <c r="AX33" s="416">
        <f>(Data!AB30+Data!CO30)/AX$6*100000*AX$3</f>
        <v>11254.976810058197</v>
      </c>
      <c r="AY33" s="416">
        <f>(Data!AC30+Data!CP30)/AY$6*100000*AY$3</f>
        <v>11720.650027250513</v>
      </c>
      <c r="AZ33" s="416">
        <f>(Data!AD30+Data!CQ30)/AZ$6*100000*AZ$3</f>
        <v>20652.76506102892</v>
      </c>
      <c r="BA33" s="416">
        <f>(Data!AE30+Data!CR30)/BA$6*100000*BA$3</f>
        <v>4561.6622697310904</v>
      </c>
      <c r="BB33" s="416">
        <f>(Data!AF30+Data!CS30)/BB$6*100000*BB$3</f>
        <v>5807.2491060984421</v>
      </c>
      <c r="BC33" s="416">
        <f>(Data!AG30+Data!CT30)/BC$6*100000*BC$3</f>
        <v>4654.8433645207842</v>
      </c>
      <c r="BD33" s="416">
        <f>(Data!AH30+Data!CU30)/BD$6*100000*BD$3</f>
        <v>6970.3681903375209</v>
      </c>
      <c r="BE33" s="411"/>
      <c r="BF33" s="411"/>
      <c r="BG33" s="411"/>
      <c r="BH33" s="411"/>
      <c r="BI33" s="411"/>
      <c r="BJ33" s="411"/>
      <c r="BK33" s="411"/>
      <c r="BL33" s="411"/>
      <c r="BM33" s="411"/>
      <c r="BN33" s="411"/>
      <c r="BO33" s="411"/>
      <c r="BP33" s="411"/>
      <c r="BQ33" s="411"/>
      <c r="BR33" s="411"/>
      <c r="BS33" s="411"/>
      <c r="BT33" s="411"/>
      <c r="BU33" s="411"/>
      <c r="BV33" s="411"/>
      <c r="BW33" s="411"/>
      <c r="BX33" s="411"/>
      <c r="BY33" s="411"/>
      <c r="BZ33" s="411"/>
      <c r="CA33" s="411"/>
      <c r="CB33" s="411"/>
      <c r="CC33" s="411"/>
      <c r="CD33" s="411"/>
      <c r="CE33" s="411"/>
      <c r="CF33" s="411"/>
      <c r="CG33" s="411"/>
      <c r="CH33" s="411"/>
      <c r="CI33" s="411"/>
      <c r="CJ33" s="411"/>
      <c r="CK33" s="411"/>
      <c r="CL33" s="411"/>
      <c r="CM33" s="411"/>
      <c r="CN33" s="411"/>
      <c r="CO33" s="411"/>
      <c r="CP33" s="411"/>
      <c r="CQ33" s="411"/>
      <c r="CR33" s="411"/>
      <c r="CS33" s="411"/>
      <c r="CT33" s="411"/>
      <c r="CU33" s="411"/>
      <c r="CV33" s="411"/>
      <c r="CW33" s="411"/>
      <c r="CX33" s="411"/>
      <c r="CY33" s="411"/>
      <c r="CZ33" s="411"/>
      <c r="DA33" s="411"/>
      <c r="DB33" s="411"/>
      <c r="DC33" s="411"/>
      <c r="DD33" s="411"/>
      <c r="DE33" s="411"/>
      <c r="DF33" s="411"/>
      <c r="DG33" s="411"/>
      <c r="DH33" s="411"/>
      <c r="DI33" s="411"/>
      <c r="DJ33" s="411"/>
      <c r="DK33" s="411"/>
      <c r="DL33" s="411"/>
      <c r="DM33" s="411"/>
      <c r="DN33" s="411"/>
      <c r="DO33" s="411"/>
      <c r="DP33" s="411"/>
      <c r="DQ33" s="411"/>
      <c r="DR33" s="411"/>
      <c r="DS33" s="411"/>
      <c r="DT33" s="411"/>
      <c r="DU33" s="411"/>
      <c r="DV33" s="411"/>
      <c r="DW33" s="411"/>
      <c r="DX33" s="411"/>
      <c r="DY33" s="411"/>
      <c r="DZ33" s="411"/>
      <c r="EA33" s="411"/>
      <c r="EB33" s="411"/>
      <c r="EC33" s="411"/>
      <c r="ED33" s="411"/>
      <c r="EE33" s="411"/>
      <c r="EF33" s="411"/>
      <c r="EG33" s="411"/>
    </row>
    <row r="34" spans="1:137" s="352" customFormat="1" ht="12" customHeight="1">
      <c r="A34" s="276"/>
      <c r="B34" s="129" t="str">
        <f>UPPER(LEFT(TRIM(Data!B31),1)) &amp; MID(TRIM(Data!B31),2,50)</f>
        <v>Inkstų</v>
      </c>
      <c r="C34" s="129" t="str">
        <f>Data!C31</f>
        <v>C64</v>
      </c>
      <c r="D34" s="130">
        <f>Data!D31+Data!BQ31</f>
        <v>719</v>
      </c>
      <c r="E34" s="131">
        <f t="shared" ref="E34:E46" si="8">D34/$R$6*100000</f>
        <v>24.751197111098108</v>
      </c>
      <c r="F34" s="132">
        <f t="shared" ref="F34:F46" si="9">R34/$R$3</f>
        <v>17.821267608579745</v>
      </c>
      <c r="G34" s="133">
        <f t="shared" ref="G34:G46" si="10">AL34/$AL$3</f>
        <v>12.786936322465788</v>
      </c>
      <c r="H34" s="281"/>
      <c r="I34" s="281"/>
      <c r="J34" s="281"/>
      <c r="K34" s="281"/>
      <c r="L34" s="281"/>
      <c r="M34" s="281"/>
      <c r="N34" s="281"/>
      <c r="O34" s="277"/>
      <c r="P34" s="360"/>
      <c r="Q34" s="424" t="s">
        <v>353</v>
      </c>
      <c r="R34" s="416">
        <f t="shared" si="3"/>
        <v>1782126.7608579746</v>
      </c>
      <c r="S34" s="416">
        <f>(Data!Q31+Data!CD31)/S$6*100000*S$3</f>
        <v>26492.873417050814</v>
      </c>
      <c r="T34" s="416">
        <f>(Data!R31+Data!CE31)/T$6*100000*T$3</f>
        <v>10044.410644205451</v>
      </c>
      <c r="U34" s="416">
        <f>(Data!S31+Data!CF31)/U$6*100000*U$3</f>
        <v>0</v>
      </c>
      <c r="V34" s="416">
        <f>(Data!T31+Data!CG31)/V$6*100000*V$3</f>
        <v>8420.0396944728454</v>
      </c>
      <c r="W34" s="416">
        <f>(Data!U31+Data!CH31)/W$6*100000*W$3</f>
        <v>3473.6868223209194</v>
      </c>
      <c r="X34" s="416">
        <f>(Data!V31+Data!CI31)/X$6*100000*X$3</f>
        <v>0</v>
      </c>
      <c r="Y34" s="416">
        <f>(Data!W31+Data!CJ31)/Y$6*100000*Y$3</f>
        <v>7860.2669122064335</v>
      </c>
      <c r="Z34" s="416">
        <f>(Data!X31+Data!CK31)/Z$6*100000*Z$3</f>
        <v>27785.338414080928</v>
      </c>
      <c r="AA34" s="416">
        <f>(Data!Y31+Data!CL31)/AA$6*100000*AA$3</f>
        <v>28321.1619768171</v>
      </c>
      <c r="AB34" s="416">
        <f>(Data!Z31+Data!CM31)/AB$6*100000*AB$3</f>
        <v>77470.888268694063</v>
      </c>
      <c r="AC34" s="416">
        <f>(Data!AA31+Data!CN31)/AC$6*100000*AC$3</f>
        <v>205158.26494724498</v>
      </c>
      <c r="AD34" s="416">
        <f>(Data!AB31+Data!CO31)/AD$6*100000*AD$3</f>
        <v>247609.48982128035</v>
      </c>
      <c r="AE34" s="416">
        <f>(Data!AC31+Data!CP31)/AE$6*100000*AE$3</f>
        <v>278365.43814719969</v>
      </c>
      <c r="AF34" s="416">
        <f>(Data!AD31+Data!CQ31)/AF$6*100000*AF$3</f>
        <v>357981.26105783461</v>
      </c>
      <c r="AG34" s="416">
        <f>(Data!AE31+Data!CR31)/AG$6*100000*AG$3</f>
        <v>205274.80213789907</v>
      </c>
      <c r="AH34" s="416">
        <f>(Data!AF31+Data!CS31)/AH$6*100000*AH$3</f>
        <v>174217.47318295322</v>
      </c>
      <c r="AI34" s="416">
        <f>(Data!AG31+Data!CT31)/AI$6*100000*AI$3</f>
        <v>70986.361308941952</v>
      </c>
      <c r="AJ34" s="416">
        <f>(Data!AH31+Data!CU31)/AJ$6*100000*AJ$3</f>
        <v>52665.004104772372</v>
      </c>
      <c r="AK34" s="424" t="s">
        <v>353</v>
      </c>
      <c r="AL34" s="416">
        <f t="shared" si="4"/>
        <v>1278693.6322465788</v>
      </c>
      <c r="AM34" s="416">
        <f>(Data!Q31+Data!CD31)/AM$6*100000*AM$3</f>
        <v>39739.310125576216</v>
      </c>
      <c r="AN34" s="416">
        <f>(Data!R31+Data!CE31)/AN$6*100000*AN$3</f>
        <v>14349.158063150644</v>
      </c>
      <c r="AO34" s="416">
        <f>(Data!S31+Data!CF31)/AO$6*100000*AO$3</f>
        <v>0</v>
      </c>
      <c r="AP34" s="416">
        <f>(Data!T31+Data!CG31)/AP$6*100000*AP$3</f>
        <v>10825.765321465087</v>
      </c>
      <c r="AQ34" s="416">
        <f>(Data!U31+Data!CH31)/AQ$6*100000*AQ$3</f>
        <v>3969.9277969381933</v>
      </c>
      <c r="AR34" s="416">
        <f>(Data!V31+Data!CI31)/AR$6*100000*AR$3</f>
        <v>0</v>
      </c>
      <c r="AS34" s="416">
        <f>(Data!W31+Data!CJ31)/AS$6*100000*AS$3</f>
        <v>6737.371639034086</v>
      </c>
      <c r="AT34" s="416">
        <f>(Data!X31+Data!CK31)/AT$6*100000*AT$3</f>
        <v>23816.00435492651</v>
      </c>
      <c r="AU34" s="416">
        <f>(Data!Y31+Data!CL31)/AU$6*100000*AU$3</f>
        <v>24275.281694414658</v>
      </c>
      <c r="AV34" s="416">
        <f>(Data!Z31+Data!CM31)/AV$6*100000*AV$3</f>
        <v>66403.618516023475</v>
      </c>
      <c r="AW34" s="416">
        <f>(Data!AA31+Data!CN31)/AW$6*100000*AW$3</f>
        <v>146541.61781946072</v>
      </c>
      <c r="AX34" s="416">
        <f>(Data!AB31+Data!CO31)/AX$6*100000*AX$3</f>
        <v>165072.99321418692</v>
      </c>
      <c r="AY34" s="416">
        <f>(Data!AC31+Data!CP31)/AY$6*100000*AY$3</f>
        <v>222692.35051775974</v>
      </c>
      <c r="AZ34" s="416">
        <f>(Data!AD31+Data!CQ31)/AZ$6*100000*AZ$3</f>
        <v>268485.94579337595</v>
      </c>
      <c r="BA34" s="416">
        <f>(Data!AE31+Data!CR31)/BA$6*100000*BA$3</f>
        <v>136849.8680919327</v>
      </c>
      <c r="BB34" s="416">
        <f>(Data!AF31+Data!CS31)/BB$6*100000*BB$3</f>
        <v>87108.736591476612</v>
      </c>
      <c r="BC34" s="416">
        <f>(Data!AG31+Data!CT31)/BC$6*100000*BC$3</f>
        <v>35493.180654470976</v>
      </c>
      <c r="BD34" s="416">
        <f>(Data!AH31+Data!CU31)/BD$6*100000*BD$3</f>
        <v>26332.502052386186</v>
      </c>
      <c r="BE34" s="411"/>
      <c r="BF34" s="411"/>
      <c r="BG34" s="411"/>
      <c r="BH34" s="411"/>
      <c r="BI34" s="411"/>
      <c r="BJ34" s="411"/>
      <c r="BK34" s="411"/>
      <c r="BL34" s="411"/>
      <c r="BM34" s="411"/>
      <c r="BN34" s="411"/>
      <c r="BO34" s="411"/>
      <c r="BP34" s="411"/>
      <c r="BQ34" s="411"/>
      <c r="BR34" s="411"/>
      <c r="BS34" s="411"/>
      <c r="BT34" s="411"/>
      <c r="BU34" s="411"/>
      <c r="BV34" s="411"/>
      <c r="BW34" s="411"/>
      <c r="BX34" s="411"/>
      <c r="BY34" s="411"/>
      <c r="BZ34" s="411"/>
      <c r="CA34" s="411"/>
      <c r="CB34" s="411"/>
      <c r="CC34" s="411"/>
      <c r="CD34" s="411"/>
      <c r="CE34" s="411"/>
      <c r="CF34" s="411"/>
      <c r="CG34" s="411"/>
      <c r="CH34" s="411"/>
      <c r="CI34" s="411"/>
      <c r="CJ34" s="411"/>
      <c r="CK34" s="411"/>
      <c r="CL34" s="411"/>
      <c r="CM34" s="411"/>
      <c r="CN34" s="411"/>
      <c r="CO34" s="411"/>
      <c r="CP34" s="411"/>
      <c r="CQ34" s="411"/>
      <c r="CR34" s="411"/>
      <c r="CS34" s="411"/>
      <c r="CT34" s="411"/>
      <c r="CU34" s="411"/>
      <c r="CV34" s="411"/>
      <c r="CW34" s="411"/>
      <c r="CX34" s="411"/>
      <c r="CY34" s="411"/>
      <c r="CZ34" s="411"/>
      <c r="DA34" s="411"/>
      <c r="DB34" s="411"/>
      <c r="DC34" s="411"/>
      <c r="DD34" s="411"/>
      <c r="DE34" s="411"/>
      <c r="DF34" s="411"/>
      <c r="DG34" s="411"/>
      <c r="DH34" s="411"/>
      <c r="DI34" s="411"/>
      <c r="DJ34" s="411"/>
      <c r="DK34" s="411"/>
      <c r="DL34" s="411"/>
      <c r="DM34" s="411"/>
      <c r="DN34" s="411"/>
      <c r="DO34" s="411"/>
      <c r="DP34" s="411"/>
      <c r="DQ34" s="411"/>
      <c r="DR34" s="411"/>
      <c r="DS34" s="411"/>
      <c r="DT34" s="411"/>
      <c r="DU34" s="411"/>
      <c r="DV34" s="411"/>
      <c r="DW34" s="411"/>
      <c r="DX34" s="411"/>
      <c r="DY34" s="411"/>
      <c r="DZ34" s="411"/>
      <c r="EA34" s="411"/>
      <c r="EB34" s="411"/>
      <c r="EC34" s="411"/>
      <c r="ED34" s="411"/>
      <c r="EE34" s="411"/>
      <c r="EF34" s="411"/>
      <c r="EG34" s="411"/>
    </row>
    <row r="35" spans="1:137" s="352" customFormat="1" ht="12" customHeight="1">
      <c r="A35" s="276"/>
      <c r="B35" s="283" t="str">
        <f>UPPER(LEFT(TRIM(Data!B32),1)) &amp; MID(TRIM(Data!B32),2,50)</f>
        <v>Šlapimo pūslės</v>
      </c>
      <c r="C35" s="283" t="str">
        <f>Data!C32</f>
        <v>C67</v>
      </c>
      <c r="D35" s="284">
        <f>Data!D32+Data!BQ32</f>
        <v>393</v>
      </c>
      <c r="E35" s="285">
        <f t="shared" si="8"/>
        <v>13.528818448764332</v>
      </c>
      <c r="F35" s="286">
        <f t="shared" si="9"/>
        <v>8.3482823070919743</v>
      </c>
      <c r="G35" s="286">
        <f t="shared" si="10"/>
        <v>5.4631486607044053</v>
      </c>
      <c r="H35" s="281"/>
      <c r="I35" s="281"/>
      <c r="J35" s="281"/>
      <c r="K35" s="281"/>
      <c r="L35" s="281"/>
      <c r="M35" s="281"/>
      <c r="N35" s="281"/>
      <c r="O35" s="277"/>
      <c r="P35" s="360"/>
      <c r="Q35" s="424" t="s">
        <v>353</v>
      </c>
      <c r="R35" s="416">
        <f t="shared" si="3"/>
        <v>834828.23070919747</v>
      </c>
      <c r="S35" s="416">
        <f>(Data!Q32+Data!CD32)/S$6*100000*S$3</f>
        <v>0</v>
      </c>
      <c r="T35" s="416">
        <f>(Data!R32+Data!CE32)/T$6*100000*T$3</f>
        <v>0</v>
      </c>
      <c r="U35" s="416">
        <f>(Data!S32+Data!CF32)/U$6*100000*U$3</f>
        <v>0</v>
      </c>
      <c r="V35" s="416">
        <f>(Data!T32+Data!CG32)/V$6*100000*V$3</f>
        <v>0</v>
      </c>
      <c r="W35" s="416">
        <f>(Data!U32+Data!CH32)/W$6*100000*W$3</f>
        <v>0</v>
      </c>
      <c r="X35" s="416">
        <f>(Data!V32+Data!CI32)/X$6*100000*X$3</f>
        <v>0</v>
      </c>
      <c r="Y35" s="416">
        <f>(Data!W32+Data!CJ32)/Y$6*100000*Y$3</f>
        <v>0</v>
      </c>
      <c r="Z35" s="416">
        <f>(Data!X32+Data!CK32)/Z$6*100000*Z$3</f>
        <v>11908.002177463255</v>
      </c>
      <c r="AA35" s="416">
        <f>(Data!Y32+Data!CL32)/AA$6*100000*AA$3</f>
        <v>0</v>
      </c>
      <c r="AB35" s="416">
        <f>(Data!Z32+Data!CM32)/AB$6*100000*AB$3</f>
        <v>26946.395919545761</v>
      </c>
      <c r="AC35" s="416">
        <f>(Data!AA32+Data!CN32)/AC$6*100000*AC$3</f>
        <v>43518.419837294401</v>
      </c>
      <c r="AD35" s="416">
        <f>(Data!AB32+Data!CO32)/AD$6*100000*AD$3</f>
        <v>73157.349265378274</v>
      </c>
      <c r="AE35" s="416">
        <f>(Data!AC32+Data!CP32)/AE$6*100000*AE$3</f>
        <v>114276.3377656925</v>
      </c>
      <c r="AF35" s="416">
        <f>(Data!AD32+Data!CQ32)/AF$6*100000*AF$3</f>
        <v>148699.90843940823</v>
      </c>
      <c r="AG35" s="416">
        <f>(Data!AE32+Data!CR32)/AG$6*100000*AG$3</f>
        <v>132288.20582220162</v>
      </c>
      <c r="AH35" s="416">
        <f>(Data!AF32+Data!CS32)/AH$6*100000*AH$3</f>
        <v>129418.69436447954</v>
      </c>
      <c r="AI35" s="416">
        <f>(Data!AG32+Data!CT32)/AI$6*100000*AI$3</f>
        <v>61676.674579900384</v>
      </c>
      <c r="AJ35" s="416">
        <f>(Data!AH32+Data!CU32)/AJ$6*100000*AJ$3</f>
        <v>92938.242537833605</v>
      </c>
      <c r="AK35" s="424" t="s">
        <v>353</v>
      </c>
      <c r="AL35" s="416">
        <f t="shared" si="4"/>
        <v>546314.8660704405</v>
      </c>
      <c r="AM35" s="416">
        <f>(Data!Q32+Data!CD32)/AM$6*100000*AM$3</f>
        <v>0</v>
      </c>
      <c r="AN35" s="416">
        <f>(Data!R32+Data!CE32)/AN$6*100000*AN$3</f>
        <v>0</v>
      </c>
      <c r="AO35" s="416">
        <f>(Data!S32+Data!CF32)/AO$6*100000*AO$3</f>
        <v>0</v>
      </c>
      <c r="AP35" s="416">
        <f>(Data!T32+Data!CG32)/AP$6*100000*AP$3</f>
        <v>0</v>
      </c>
      <c r="AQ35" s="416">
        <f>(Data!U32+Data!CH32)/AQ$6*100000*AQ$3</f>
        <v>0</v>
      </c>
      <c r="AR35" s="416">
        <f>(Data!V32+Data!CI32)/AR$6*100000*AR$3</f>
        <v>0</v>
      </c>
      <c r="AS35" s="416">
        <f>(Data!W32+Data!CJ32)/AS$6*100000*AS$3</f>
        <v>0</v>
      </c>
      <c r="AT35" s="416">
        <f>(Data!X32+Data!CK32)/AT$6*100000*AT$3</f>
        <v>10206.85900925422</v>
      </c>
      <c r="AU35" s="416">
        <f>(Data!Y32+Data!CL32)/AU$6*100000*AU$3</f>
        <v>0</v>
      </c>
      <c r="AV35" s="416">
        <f>(Data!Z32+Data!CM32)/AV$6*100000*AV$3</f>
        <v>23096.910788182078</v>
      </c>
      <c r="AW35" s="416">
        <f>(Data!AA32+Data!CN32)/AW$6*100000*AW$3</f>
        <v>31084.585598067428</v>
      </c>
      <c r="AX35" s="416">
        <f>(Data!AB32+Data!CO32)/AX$6*100000*AX$3</f>
        <v>48771.566176918852</v>
      </c>
      <c r="AY35" s="416">
        <f>(Data!AC32+Data!CP32)/AY$6*100000*AY$3</f>
        <v>91421.070212553997</v>
      </c>
      <c r="AZ35" s="416">
        <f>(Data!AD32+Data!CQ32)/AZ$6*100000*AZ$3</f>
        <v>111524.93132955617</v>
      </c>
      <c r="BA35" s="416">
        <f>(Data!AE32+Data!CR32)/BA$6*100000*BA$3</f>
        <v>88192.137214801085</v>
      </c>
      <c r="BB35" s="416">
        <f>(Data!AF32+Data!CS32)/BB$6*100000*BB$3</f>
        <v>64709.34718223977</v>
      </c>
      <c r="BC35" s="416">
        <f>(Data!AG32+Data!CT32)/BC$6*100000*BC$3</f>
        <v>30838.337289950192</v>
      </c>
      <c r="BD35" s="416">
        <f>(Data!AH32+Data!CU32)/BD$6*100000*BD$3</f>
        <v>46469.121268916802</v>
      </c>
      <c r="BE35" s="411"/>
      <c r="BF35" s="411"/>
      <c r="BG35" s="411"/>
      <c r="BH35" s="411"/>
      <c r="BI35" s="411"/>
      <c r="BJ35" s="411"/>
      <c r="BK35" s="411"/>
      <c r="BL35" s="411"/>
      <c r="BM35" s="411"/>
      <c r="BN35" s="411"/>
      <c r="BO35" s="411"/>
      <c r="BP35" s="411"/>
      <c r="BQ35" s="411"/>
      <c r="BR35" s="411"/>
      <c r="BS35" s="411"/>
      <c r="BT35" s="411"/>
      <c r="BU35" s="411"/>
      <c r="BV35" s="411"/>
      <c r="BW35" s="411"/>
      <c r="BX35" s="411"/>
      <c r="BY35" s="411"/>
      <c r="BZ35" s="411"/>
      <c r="CA35" s="411"/>
      <c r="CB35" s="411"/>
      <c r="CC35" s="411"/>
      <c r="CD35" s="411"/>
      <c r="CE35" s="411"/>
      <c r="CF35" s="411"/>
      <c r="CG35" s="411"/>
      <c r="CH35" s="411"/>
      <c r="CI35" s="411"/>
      <c r="CJ35" s="411"/>
      <c r="CK35" s="411"/>
      <c r="CL35" s="411"/>
      <c r="CM35" s="411"/>
      <c r="CN35" s="411"/>
      <c r="CO35" s="411"/>
      <c r="CP35" s="411"/>
      <c r="CQ35" s="411"/>
      <c r="CR35" s="411"/>
      <c r="CS35" s="411"/>
      <c r="CT35" s="411"/>
      <c r="CU35" s="411"/>
      <c r="CV35" s="411"/>
      <c r="CW35" s="411"/>
      <c r="CX35" s="411"/>
      <c r="CY35" s="411"/>
      <c r="CZ35" s="411"/>
      <c r="DA35" s="411"/>
      <c r="DB35" s="411"/>
      <c r="DC35" s="411"/>
      <c r="DD35" s="411"/>
      <c r="DE35" s="411"/>
      <c r="DF35" s="411"/>
      <c r="DG35" s="411"/>
      <c r="DH35" s="411"/>
      <c r="DI35" s="411"/>
      <c r="DJ35" s="411"/>
      <c r="DK35" s="411"/>
      <c r="DL35" s="411"/>
      <c r="DM35" s="411"/>
      <c r="DN35" s="411"/>
      <c r="DO35" s="411"/>
      <c r="DP35" s="411"/>
      <c r="DQ35" s="411"/>
      <c r="DR35" s="411"/>
      <c r="DS35" s="411"/>
      <c r="DT35" s="411"/>
      <c r="DU35" s="411"/>
      <c r="DV35" s="411"/>
      <c r="DW35" s="411"/>
      <c r="DX35" s="411"/>
      <c r="DY35" s="411"/>
      <c r="DZ35" s="411"/>
      <c r="EA35" s="411"/>
      <c r="EB35" s="411"/>
      <c r="EC35" s="411"/>
      <c r="ED35" s="411"/>
      <c r="EE35" s="411"/>
      <c r="EF35" s="411"/>
      <c r="EG35" s="411"/>
    </row>
    <row r="36" spans="1:137" s="352" customFormat="1" ht="12" customHeight="1">
      <c r="A36" s="276"/>
      <c r="B36" s="129" t="str">
        <f>UPPER(LEFT(TRIM(Data!B33),1)) &amp; MID(TRIM(Data!B33),2,50)</f>
        <v>Kitų šlapimą išskiriančių organų</v>
      </c>
      <c r="C36" s="129" t="str">
        <f>Data!C33</f>
        <v>C65, C66, C68</v>
      </c>
      <c r="D36" s="130">
        <f>Data!D33+Data!BQ33</f>
        <v>44</v>
      </c>
      <c r="E36" s="131">
        <f t="shared" si="8"/>
        <v>1.5146768746708159</v>
      </c>
      <c r="F36" s="132">
        <f t="shared" si="9"/>
        <v>0.87212538317892774</v>
      </c>
      <c r="G36" s="133">
        <f t="shared" si="10"/>
        <v>0.55178043936457022</v>
      </c>
      <c r="H36" s="281"/>
      <c r="I36" s="281"/>
      <c r="J36" s="281"/>
      <c r="K36" s="281"/>
      <c r="L36" s="281"/>
      <c r="M36" s="281"/>
      <c r="N36" s="281"/>
      <c r="O36" s="277"/>
      <c r="P36" s="360"/>
      <c r="Q36" s="424" t="s">
        <v>353</v>
      </c>
      <c r="R36" s="416">
        <f t="shared" si="3"/>
        <v>87212.538317892773</v>
      </c>
      <c r="S36" s="416">
        <f>(Data!Q33+Data!CD33)/S$6*100000*S$3</f>
        <v>0</v>
      </c>
      <c r="T36" s="416">
        <f>(Data!R33+Data!CE33)/T$6*100000*T$3</f>
        <v>0</v>
      </c>
      <c r="U36" s="416">
        <f>(Data!S33+Data!CF33)/U$6*100000*U$3</f>
        <v>0</v>
      </c>
      <c r="V36" s="416">
        <f>(Data!T33+Data!CG33)/V$6*100000*V$3</f>
        <v>0</v>
      </c>
      <c r="W36" s="416">
        <f>(Data!U33+Data!CH33)/W$6*100000*W$3</f>
        <v>0</v>
      </c>
      <c r="X36" s="416">
        <f>(Data!V33+Data!CI33)/X$6*100000*X$3</f>
        <v>0</v>
      </c>
      <c r="Y36" s="416">
        <f>(Data!W33+Data!CJ33)/Y$6*100000*Y$3</f>
        <v>0</v>
      </c>
      <c r="Z36" s="416">
        <f>(Data!X33+Data!CK33)/Z$6*100000*Z$3</f>
        <v>0</v>
      </c>
      <c r="AA36" s="416">
        <f>(Data!Y33+Data!CL33)/AA$6*100000*AA$3</f>
        <v>0</v>
      </c>
      <c r="AB36" s="416">
        <f>(Data!Z33+Data!CM33)/AB$6*100000*AB$3</f>
        <v>0</v>
      </c>
      <c r="AC36" s="416">
        <f>(Data!AA33+Data!CN33)/AC$6*100000*AC$3</f>
        <v>9325.3756794202291</v>
      </c>
      <c r="AD36" s="416">
        <f>(Data!AB33+Data!CO33)/AD$6*100000*AD$3</f>
        <v>0</v>
      </c>
      <c r="AE36" s="416">
        <f>(Data!AC33+Data!CP33)/AE$6*100000*AE$3</f>
        <v>14650.81253406314</v>
      </c>
      <c r="AF36" s="416">
        <f>(Data!AD33+Data!CQ33)/AF$6*100000*AF$3</f>
        <v>5507.4040162743795</v>
      </c>
      <c r="AG36" s="416">
        <f>(Data!AE33+Data!CR33)/AG$6*100000*AG$3</f>
        <v>22808.31134865545</v>
      </c>
      <c r="AH36" s="416">
        <f>(Data!AF33+Data!CS33)/AH$6*100000*AH$3</f>
        <v>18251.35433345224</v>
      </c>
      <c r="AI36" s="416">
        <f>(Data!AG33+Data!CT33)/AI$6*100000*AI$3</f>
        <v>10473.397570171765</v>
      </c>
      <c r="AJ36" s="416">
        <f>(Data!AH33+Data!CU33)/AJ$6*100000*AJ$3</f>
        <v>6195.8828358555738</v>
      </c>
      <c r="AK36" s="424" t="s">
        <v>353</v>
      </c>
      <c r="AL36" s="416">
        <f t="shared" si="4"/>
        <v>55178.043936457027</v>
      </c>
      <c r="AM36" s="416">
        <f>(Data!Q33+Data!CD33)/AM$6*100000*AM$3</f>
        <v>0</v>
      </c>
      <c r="AN36" s="416">
        <f>(Data!R33+Data!CE33)/AN$6*100000*AN$3</f>
        <v>0</v>
      </c>
      <c r="AO36" s="416">
        <f>(Data!S33+Data!CF33)/AO$6*100000*AO$3</f>
        <v>0</v>
      </c>
      <c r="AP36" s="416">
        <f>(Data!T33+Data!CG33)/AP$6*100000*AP$3</f>
        <v>0</v>
      </c>
      <c r="AQ36" s="416">
        <f>(Data!U33+Data!CH33)/AQ$6*100000*AQ$3</f>
        <v>0</v>
      </c>
      <c r="AR36" s="416">
        <f>(Data!V33+Data!CI33)/AR$6*100000*AR$3</f>
        <v>0</v>
      </c>
      <c r="AS36" s="416">
        <f>(Data!W33+Data!CJ33)/AS$6*100000*AS$3</f>
        <v>0</v>
      </c>
      <c r="AT36" s="416">
        <f>(Data!X33+Data!CK33)/AT$6*100000*AT$3</f>
        <v>0</v>
      </c>
      <c r="AU36" s="416">
        <f>(Data!Y33+Data!CL33)/AU$6*100000*AU$3</f>
        <v>0</v>
      </c>
      <c r="AV36" s="416">
        <f>(Data!Z33+Data!CM33)/AV$6*100000*AV$3</f>
        <v>0</v>
      </c>
      <c r="AW36" s="416">
        <f>(Data!AA33+Data!CN33)/AW$6*100000*AW$3</f>
        <v>6660.982628157306</v>
      </c>
      <c r="AX36" s="416">
        <f>(Data!AB33+Data!CO33)/AX$6*100000*AX$3</f>
        <v>0</v>
      </c>
      <c r="AY36" s="416">
        <f>(Data!AC33+Data!CP33)/AY$6*100000*AY$3</f>
        <v>11720.650027250513</v>
      </c>
      <c r="AZ36" s="416">
        <f>(Data!AD33+Data!CQ33)/AZ$6*100000*AZ$3</f>
        <v>4130.5530122057844</v>
      </c>
      <c r="BA36" s="416">
        <f>(Data!AE33+Data!CR33)/BA$6*100000*BA$3</f>
        <v>15205.540899103633</v>
      </c>
      <c r="BB36" s="416">
        <f>(Data!AF33+Data!CS33)/BB$6*100000*BB$3</f>
        <v>9125.67716672612</v>
      </c>
      <c r="BC36" s="416">
        <f>(Data!AG33+Data!CT33)/BC$6*100000*BC$3</f>
        <v>5236.6987850858823</v>
      </c>
      <c r="BD36" s="416">
        <f>(Data!AH33+Data!CU33)/BD$6*100000*BD$3</f>
        <v>3097.9414179277869</v>
      </c>
      <c r="BE36" s="411"/>
      <c r="BF36" s="411"/>
      <c r="BG36" s="411"/>
      <c r="BH36" s="411"/>
      <c r="BI36" s="411"/>
      <c r="BJ36" s="411"/>
      <c r="BK36" s="411"/>
      <c r="BL36" s="411"/>
      <c r="BM36" s="411"/>
      <c r="BN36" s="411"/>
      <c r="BO36" s="411"/>
      <c r="BP36" s="411"/>
      <c r="BQ36" s="411"/>
      <c r="BR36" s="411"/>
      <c r="BS36" s="411"/>
      <c r="BT36" s="411"/>
      <c r="BU36" s="411"/>
      <c r="BV36" s="411"/>
      <c r="BW36" s="411"/>
      <c r="BX36" s="411"/>
      <c r="BY36" s="411"/>
      <c r="BZ36" s="411"/>
      <c r="CA36" s="411"/>
      <c r="CB36" s="411"/>
      <c r="CC36" s="411"/>
      <c r="CD36" s="411"/>
      <c r="CE36" s="411"/>
      <c r="CF36" s="411"/>
      <c r="CG36" s="411"/>
      <c r="CH36" s="411"/>
      <c r="CI36" s="411"/>
      <c r="CJ36" s="411"/>
      <c r="CK36" s="411"/>
      <c r="CL36" s="411"/>
      <c r="CM36" s="411"/>
      <c r="CN36" s="411"/>
      <c r="CO36" s="411"/>
      <c r="CP36" s="411"/>
      <c r="CQ36" s="411"/>
      <c r="CR36" s="411"/>
      <c r="CS36" s="411"/>
      <c r="CT36" s="411"/>
      <c r="CU36" s="411"/>
      <c r="CV36" s="411"/>
      <c r="CW36" s="411"/>
      <c r="CX36" s="411"/>
      <c r="CY36" s="411"/>
      <c r="CZ36" s="411"/>
      <c r="DA36" s="411"/>
      <c r="DB36" s="411"/>
      <c r="DC36" s="411"/>
      <c r="DD36" s="411"/>
      <c r="DE36" s="411"/>
      <c r="DF36" s="411"/>
      <c r="DG36" s="411"/>
      <c r="DH36" s="411"/>
      <c r="DI36" s="411"/>
      <c r="DJ36" s="411"/>
      <c r="DK36" s="411"/>
      <c r="DL36" s="411"/>
      <c r="DM36" s="411"/>
      <c r="DN36" s="411"/>
      <c r="DO36" s="411"/>
      <c r="DP36" s="411"/>
      <c r="DQ36" s="411"/>
      <c r="DR36" s="411"/>
      <c r="DS36" s="411"/>
      <c r="DT36" s="411"/>
      <c r="DU36" s="411"/>
      <c r="DV36" s="411"/>
      <c r="DW36" s="411"/>
      <c r="DX36" s="411"/>
      <c r="DY36" s="411"/>
      <c r="DZ36" s="411"/>
      <c r="EA36" s="411"/>
      <c r="EB36" s="411"/>
      <c r="EC36" s="411"/>
      <c r="ED36" s="411"/>
      <c r="EE36" s="411"/>
      <c r="EF36" s="411"/>
      <c r="EG36" s="411"/>
    </row>
    <row r="37" spans="1:137" s="352" customFormat="1" ht="12" customHeight="1">
      <c r="A37" s="276"/>
      <c r="B37" s="283" t="str">
        <f>UPPER(LEFT(TRIM(Data!B34),1)) &amp; MID(TRIM(Data!B34),2,50)</f>
        <v>Akių</v>
      </c>
      <c r="C37" s="283" t="str">
        <f>Data!C34</f>
        <v>C69</v>
      </c>
      <c r="D37" s="284">
        <f>Data!D34+Data!BQ34</f>
        <v>30</v>
      </c>
      <c r="E37" s="285">
        <f t="shared" si="8"/>
        <v>1.0327342327301019</v>
      </c>
      <c r="F37" s="286">
        <f t="shared" si="9"/>
        <v>0.81067835204312044</v>
      </c>
      <c r="G37" s="286">
        <f t="shared" si="10"/>
        <v>0.70541748506823643</v>
      </c>
      <c r="H37" s="281"/>
      <c r="I37" s="281"/>
      <c r="J37" s="281"/>
      <c r="K37" s="281"/>
      <c r="L37" s="281"/>
      <c r="M37" s="281"/>
      <c r="N37" s="281"/>
      <c r="O37" s="277"/>
      <c r="P37" s="360"/>
      <c r="Q37" s="424" t="s">
        <v>353</v>
      </c>
      <c r="R37" s="416">
        <f t="shared" si="3"/>
        <v>81067.835204312039</v>
      </c>
      <c r="S37" s="416">
        <f>(Data!Q34+Data!CD34)/S$6*100000*S$3</f>
        <v>15895.724050230489</v>
      </c>
      <c r="T37" s="416">
        <f>(Data!R34+Data!CE34)/T$6*100000*T$3</f>
        <v>0</v>
      </c>
      <c r="U37" s="416">
        <f>(Data!S34+Data!CF34)/U$6*100000*U$3</f>
        <v>0</v>
      </c>
      <c r="V37" s="416">
        <f>(Data!T34+Data!CG34)/V$6*100000*V$3</f>
        <v>0</v>
      </c>
      <c r="W37" s="416">
        <f>(Data!U34+Data!CH34)/W$6*100000*W$3</f>
        <v>0</v>
      </c>
      <c r="X37" s="416">
        <f>(Data!V34+Data!CI34)/X$6*100000*X$3</f>
        <v>0</v>
      </c>
      <c r="Y37" s="416">
        <f>(Data!W34+Data!CJ34)/Y$6*100000*Y$3</f>
        <v>0</v>
      </c>
      <c r="Z37" s="416">
        <f>(Data!X34+Data!CK34)/Z$6*100000*Z$3</f>
        <v>0</v>
      </c>
      <c r="AA37" s="416">
        <f>(Data!Y34+Data!CL34)/AA$6*100000*AA$3</f>
        <v>10620.435741306415</v>
      </c>
      <c r="AB37" s="416">
        <f>(Data!Z34+Data!CM34)/AB$6*100000*AB$3</f>
        <v>3368.2994899432201</v>
      </c>
      <c r="AC37" s="416">
        <f>(Data!AA34+Data!CN34)/AC$6*100000*AC$3</f>
        <v>3108.4585598067429</v>
      </c>
      <c r="AD37" s="416">
        <f>(Data!AB34+Data!CO34)/AD$6*100000*AD$3</f>
        <v>2813.7442025145497</v>
      </c>
      <c r="AE37" s="416">
        <f>(Data!AC34+Data!CP34)/AE$6*100000*AE$3</f>
        <v>14650.81253406314</v>
      </c>
      <c r="AF37" s="416">
        <f>(Data!AD34+Data!CQ34)/AF$6*100000*AF$3</f>
        <v>8261.106024411567</v>
      </c>
      <c r="AG37" s="416">
        <f>(Data!AE34+Data!CR34)/AG$6*100000*AG$3</f>
        <v>9123.3245394621808</v>
      </c>
      <c r="AH37" s="416">
        <f>(Data!AF34+Data!CS34)/AH$6*100000*AH$3</f>
        <v>6636.8561212553614</v>
      </c>
      <c r="AI37" s="416">
        <f>(Data!AG34+Data!CT34)/AI$6*100000*AI$3</f>
        <v>3491.1325233905882</v>
      </c>
      <c r="AJ37" s="416">
        <f>(Data!AH34+Data!CU34)/AJ$6*100000*AJ$3</f>
        <v>3097.9414179277869</v>
      </c>
      <c r="AK37" s="424" t="s">
        <v>353</v>
      </c>
      <c r="AL37" s="416">
        <f t="shared" si="4"/>
        <v>70541.748506823642</v>
      </c>
      <c r="AM37" s="416">
        <f>(Data!Q34+Data!CD34)/AM$6*100000*AM$3</f>
        <v>23843.586075345731</v>
      </c>
      <c r="AN37" s="416">
        <f>(Data!R34+Data!CE34)/AN$6*100000*AN$3</f>
        <v>0</v>
      </c>
      <c r="AO37" s="416">
        <f>(Data!S34+Data!CF34)/AO$6*100000*AO$3</f>
        <v>0</v>
      </c>
      <c r="AP37" s="416">
        <f>(Data!T34+Data!CG34)/AP$6*100000*AP$3</f>
        <v>0</v>
      </c>
      <c r="AQ37" s="416">
        <f>(Data!U34+Data!CH34)/AQ$6*100000*AQ$3</f>
        <v>0</v>
      </c>
      <c r="AR37" s="416">
        <f>(Data!V34+Data!CI34)/AR$6*100000*AR$3</f>
        <v>0</v>
      </c>
      <c r="AS37" s="416">
        <f>(Data!W34+Data!CJ34)/AS$6*100000*AS$3</f>
        <v>0</v>
      </c>
      <c r="AT37" s="416">
        <f>(Data!X34+Data!CK34)/AT$6*100000*AT$3</f>
        <v>0</v>
      </c>
      <c r="AU37" s="416">
        <f>(Data!Y34+Data!CL34)/AU$6*100000*AU$3</f>
        <v>9103.2306354054981</v>
      </c>
      <c r="AV37" s="416">
        <f>(Data!Z34+Data!CM34)/AV$6*100000*AV$3</f>
        <v>2887.1138485227598</v>
      </c>
      <c r="AW37" s="416">
        <f>(Data!AA34+Data!CN34)/AW$6*100000*AW$3</f>
        <v>2220.327542719102</v>
      </c>
      <c r="AX37" s="416">
        <f>(Data!AB34+Data!CO34)/AX$6*100000*AX$3</f>
        <v>1875.8294683430329</v>
      </c>
      <c r="AY37" s="416">
        <f>(Data!AC34+Data!CP34)/AY$6*100000*AY$3</f>
        <v>11720.650027250513</v>
      </c>
      <c r="AZ37" s="416">
        <f>(Data!AD34+Data!CQ34)/AZ$6*100000*AZ$3</f>
        <v>6195.8295183086757</v>
      </c>
      <c r="BA37" s="416">
        <f>(Data!AE34+Data!CR34)/BA$6*100000*BA$3</f>
        <v>6082.216359641453</v>
      </c>
      <c r="BB37" s="416">
        <f>(Data!AF34+Data!CS34)/BB$6*100000*BB$3</f>
        <v>3318.4280606276807</v>
      </c>
      <c r="BC37" s="416">
        <f>(Data!AG34+Data!CT34)/BC$6*100000*BC$3</f>
        <v>1745.5662616952941</v>
      </c>
      <c r="BD37" s="416">
        <f>(Data!AH34+Data!CU34)/BD$6*100000*BD$3</f>
        <v>1548.9707089638935</v>
      </c>
      <c r="BE37" s="411"/>
      <c r="BF37" s="411"/>
      <c r="BG37" s="411"/>
      <c r="BH37" s="411"/>
      <c r="BI37" s="411"/>
      <c r="BJ37" s="411"/>
      <c r="BK37" s="411"/>
      <c r="BL37" s="411"/>
      <c r="BM37" s="411"/>
      <c r="BN37" s="411"/>
      <c r="BO37" s="411"/>
      <c r="BP37" s="411"/>
      <c r="BQ37" s="411"/>
      <c r="BR37" s="411"/>
      <c r="BS37" s="411"/>
      <c r="BT37" s="411"/>
      <c r="BU37" s="411"/>
      <c r="BV37" s="411"/>
      <c r="BW37" s="411"/>
      <c r="BX37" s="411"/>
      <c r="BY37" s="411"/>
      <c r="BZ37" s="411"/>
      <c r="CA37" s="411"/>
      <c r="CB37" s="411"/>
      <c r="CC37" s="411"/>
      <c r="CD37" s="411"/>
      <c r="CE37" s="411"/>
      <c r="CF37" s="411"/>
      <c r="CG37" s="411"/>
      <c r="CH37" s="411"/>
      <c r="CI37" s="411"/>
      <c r="CJ37" s="411"/>
      <c r="CK37" s="411"/>
      <c r="CL37" s="411"/>
      <c r="CM37" s="411"/>
      <c r="CN37" s="411"/>
      <c r="CO37" s="411"/>
      <c r="CP37" s="411"/>
      <c r="CQ37" s="411"/>
      <c r="CR37" s="411"/>
      <c r="CS37" s="411"/>
      <c r="CT37" s="411"/>
      <c r="CU37" s="411"/>
      <c r="CV37" s="411"/>
      <c r="CW37" s="411"/>
      <c r="CX37" s="411"/>
      <c r="CY37" s="411"/>
      <c r="CZ37" s="411"/>
      <c r="DA37" s="411"/>
      <c r="DB37" s="411"/>
      <c r="DC37" s="411"/>
      <c r="DD37" s="411"/>
      <c r="DE37" s="411"/>
      <c r="DF37" s="411"/>
      <c r="DG37" s="411"/>
      <c r="DH37" s="411"/>
      <c r="DI37" s="411"/>
      <c r="DJ37" s="411"/>
      <c r="DK37" s="411"/>
      <c r="DL37" s="411"/>
      <c r="DM37" s="411"/>
      <c r="DN37" s="411"/>
      <c r="DO37" s="411"/>
      <c r="DP37" s="411"/>
      <c r="DQ37" s="411"/>
      <c r="DR37" s="411"/>
      <c r="DS37" s="411"/>
      <c r="DT37" s="411"/>
      <c r="DU37" s="411"/>
      <c r="DV37" s="411"/>
      <c r="DW37" s="411"/>
      <c r="DX37" s="411"/>
      <c r="DY37" s="411"/>
      <c r="DZ37" s="411"/>
      <c r="EA37" s="411"/>
      <c r="EB37" s="411"/>
      <c r="EC37" s="411"/>
      <c r="ED37" s="411"/>
      <c r="EE37" s="411"/>
      <c r="EF37" s="411"/>
      <c r="EG37" s="411"/>
    </row>
    <row r="38" spans="1:137" s="352" customFormat="1" ht="12" customHeight="1">
      <c r="A38" s="276"/>
      <c r="B38" s="129" t="str">
        <f>UPPER(LEFT(TRIM(Data!B35),1)) &amp; MID(TRIM(Data!B35),2,50)</f>
        <v>Smegenų</v>
      </c>
      <c r="C38" s="129" t="str">
        <f>Data!C35</f>
        <v>C70-C72</v>
      </c>
      <c r="D38" s="130">
        <f>Data!D35+Data!BQ35</f>
        <v>270</v>
      </c>
      <c r="E38" s="131">
        <f t="shared" si="8"/>
        <v>9.2946080945709166</v>
      </c>
      <c r="F38" s="132">
        <f t="shared" si="9"/>
        <v>7.5260738368998128</v>
      </c>
      <c r="G38" s="133">
        <f t="shared" si="10"/>
        <v>6.2685762604670323</v>
      </c>
      <c r="H38" s="281"/>
      <c r="I38" s="281"/>
      <c r="J38" s="281"/>
      <c r="K38" s="281"/>
      <c r="L38" s="281"/>
      <c r="M38" s="281"/>
      <c r="N38" s="281"/>
      <c r="O38" s="277"/>
      <c r="P38" s="360"/>
      <c r="Q38" s="424" t="s">
        <v>353</v>
      </c>
      <c r="R38" s="416">
        <f t="shared" si="3"/>
        <v>752607.3836899813</v>
      </c>
      <c r="S38" s="416">
        <f>(Data!Q35+Data!CD35)/S$6*100000*S$3</f>
        <v>26492.873417050814</v>
      </c>
      <c r="T38" s="416">
        <f>(Data!R35+Data!CE35)/T$6*100000*T$3</f>
        <v>55244.258543129974</v>
      </c>
      <c r="U38" s="416">
        <f>(Data!S35+Data!CF35)/U$6*100000*U$3</f>
        <v>15643.623361144219</v>
      </c>
      <c r="V38" s="416">
        <f>(Data!T35+Data!CG35)/V$6*100000*V$3</f>
        <v>4210.0198472364227</v>
      </c>
      <c r="W38" s="416">
        <f>(Data!U35+Data!CH35)/W$6*100000*W$3</f>
        <v>13894.747289283678</v>
      </c>
      <c r="X38" s="416">
        <f>(Data!V35+Data!CI35)/X$6*100000*X$3</f>
        <v>17892.288423689388</v>
      </c>
      <c r="Y38" s="416">
        <f>(Data!W35+Data!CJ35)/Y$6*100000*Y$3</f>
        <v>31441.067648825734</v>
      </c>
      <c r="Z38" s="416">
        <f>(Data!X35+Data!CK35)/Z$6*100000*Z$3</f>
        <v>11908.002177463255</v>
      </c>
      <c r="AA38" s="416">
        <f>(Data!Y35+Data!CL35)/AA$6*100000*AA$3</f>
        <v>28321.1619768171</v>
      </c>
      <c r="AB38" s="416">
        <f>(Data!Z35+Data!CM35)/AB$6*100000*AB$3</f>
        <v>53892.791839091522</v>
      </c>
      <c r="AC38" s="416">
        <f>(Data!AA35+Data!CN35)/AC$6*100000*AC$3</f>
        <v>71494.546875555083</v>
      </c>
      <c r="AD38" s="416">
        <f>(Data!AB35+Data!CO35)/AD$6*100000*AD$3</f>
        <v>70343.605062863731</v>
      </c>
      <c r="AE38" s="416">
        <f>(Data!AC35+Data!CP35)/AE$6*100000*AE$3</f>
        <v>93765.200218004102</v>
      </c>
      <c r="AF38" s="416">
        <f>(Data!AD35+Data!CQ35)/AF$6*100000*AF$3</f>
        <v>93625.868276664434</v>
      </c>
      <c r="AG38" s="416">
        <f>(Data!AE35+Data!CR35)/AG$6*100000*AG$3</f>
        <v>79829.089720294083</v>
      </c>
      <c r="AH38" s="416">
        <f>(Data!AF35+Data!CS35)/AH$6*100000*AH$3</f>
        <v>43139.564788159842</v>
      </c>
      <c r="AI38" s="416">
        <f>(Data!AG35+Data!CT35)/AI$6*100000*AI$3</f>
        <v>19783.084299213333</v>
      </c>
      <c r="AJ38" s="416">
        <f>(Data!AH35+Data!CU35)/AJ$6*100000*AJ$3</f>
        <v>21685.589925494507</v>
      </c>
      <c r="AK38" s="424" t="s">
        <v>353</v>
      </c>
      <c r="AL38" s="416">
        <f t="shared" si="4"/>
        <v>626857.6260467032</v>
      </c>
      <c r="AM38" s="416">
        <f>(Data!Q35+Data!CD35)/AM$6*100000*AM$3</f>
        <v>39739.310125576216</v>
      </c>
      <c r="AN38" s="416">
        <f>(Data!R35+Data!CE35)/AN$6*100000*AN$3</f>
        <v>78920.369347328538</v>
      </c>
      <c r="AO38" s="416">
        <f>(Data!S35+Data!CF35)/AO$6*100000*AO$3</f>
        <v>20113.230035756853</v>
      </c>
      <c r="AP38" s="416">
        <f>(Data!T35+Data!CG35)/AP$6*100000*AP$3</f>
        <v>5412.8826607325436</v>
      </c>
      <c r="AQ38" s="416">
        <f>(Data!U35+Data!CH35)/AQ$6*100000*AQ$3</f>
        <v>15879.711187752773</v>
      </c>
      <c r="AR38" s="416">
        <f>(Data!V35+Data!CI35)/AR$6*100000*AR$3</f>
        <v>20448.329627073588</v>
      </c>
      <c r="AS38" s="416">
        <f>(Data!W35+Data!CJ35)/AS$6*100000*AS$3</f>
        <v>26949.486556136344</v>
      </c>
      <c r="AT38" s="416">
        <f>(Data!X35+Data!CK35)/AT$6*100000*AT$3</f>
        <v>10206.85900925422</v>
      </c>
      <c r="AU38" s="416">
        <f>(Data!Y35+Data!CL35)/AU$6*100000*AU$3</f>
        <v>24275.281694414658</v>
      </c>
      <c r="AV38" s="416">
        <f>(Data!Z35+Data!CM35)/AV$6*100000*AV$3</f>
        <v>46193.821576364156</v>
      </c>
      <c r="AW38" s="416">
        <f>(Data!AA35+Data!CN35)/AW$6*100000*AW$3</f>
        <v>51067.533482539344</v>
      </c>
      <c r="AX38" s="416">
        <f>(Data!AB35+Data!CO35)/AX$6*100000*AX$3</f>
        <v>46895.736708575816</v>
      </c>
      <c r="AY38" s="416">
        <f>(Data!AC35+Data!CP35)/AY$6*100000*AY$3</f>
        <v>75012.160174403281</v>
      </c>
      <c r="AZ38" s="416">
        <f>(Data!AD35+Data!CQ35)/AZ$6*100000*AZ$3</f>
        <v>70219.401207498318</v>
      </c>
      <c r="BA38" s="416">
        <f>(Data!AE35+Data!CR35)/BA$6*100000*BA$3</f>
        <v>53219.39314686272</v>
      </c>
      <c r="BB38" s="416">
        <f>(Data!AF35+Data!CS35)/BB$6*100000*BB$3</f>
        <v>21569.782394079921</v>
      </c>
      <c r="BC38" s="416">
        <f>(Data!AG35+Data!CT35)/BC$6*100000*BC$3</f>
        <v>9891.5421496066665</v>
      </c>
      <c r="BD38" s="416">
        <f>(Data!AH35+Data!CU35)/BD$6*100000*BD$3</f>
        <v>10842.794962747254</v>
      </c>
      <c r="BE38" s="411"/>
      <c r="BF38" s="411"/>
      <c r="BG38" s="411"/>
      <c r="BH38" s="411"/>
      <c r="BI38" s="411"/>
      <c r="BJ38" s="411"/>
      <c r="BK38" s="411"/>
      <c r="BL38" s="411"/>
      <c r="BM38" s="411"/>
      <c r="BN38" s="411"/>
      <c r="BO38" s="411"/>
      <c r="BP38" s="411"/>
      <c r="BQ38" s="411"/>
      <c r="BR38" s="411"/>
      <c r="BS38" s="411"/>
      <c r="BT38" s="411"/>
      <c r="BU38" s="411"/>
      <c r="BV38" s="411"/>
      <c r="BW38" s="411"/>
      <c r="BX38" s="411"/>
      <c r="BY38" s="411"/>
      <c r="BZ38" s="411"/>
      <c r="CA38" s="411"/>
      <c r="CB38" s="411"/>
      <c r="CC38" s="411"/>
      <c r="CD38" s="411"/>
      <c r="CE38" s="411"/>
      <c r="CF38" s="411"/>
      <c r="CG38" s="411"/>
      <c r="CH38" s="411"/>
      <c r="CI38" s="411"/>
      <c r="CJ38" s="411"/>
      <c r="CK38" s="411"/>
      <c r="CL38" s="411"/>
      <c r="CM38" s="411"/>
      <c r="CN38" s="411"/>
      <c r="CO38" s="411"/>
      <c r="CP38" s="411"/>
      <c r="CQ38" s="411"/>
      <c r="CR38" s="411"/>
      <c r="CS38" s="411"/>
      <c r="CT38" s="411"/>
      <c r="CU38" s="411"/>
      <c r="CV38" s="411"/>
      <c r="CW38" s="411"/>
      <c r="CX38" s="411"/>
      <c r="CY38" s="411"/>
      <c r="CZ38" s="411"/>
      <c r="DA38" s="411"/>
      <c r="DB38" s="411"/>
      <c r="DC38" s="411"/>
      <c r="DD38" s="411"/>
      <c r="DE38" s="411"/>
      <c r="DF38" s="411"/>
      <c r="DG38" s="411"/>
      <c r="DH38" s="411"/>
      <c r="DI38" s="411"/>
      <c r="DJ38" s="411"/>
      <c r="DK38" s="411"/>
      <c r="DL38" s="411"/>
      <c r="DM38" s="411"/>
      <c r="DN38" s="411"/>
      <c r="DO38" s="411"/>
      <c r="DP38" s="411"/>
      <c r="DQ38" s="411"/>
      <c r="DR38" s="411"/>
      <c r="DS38" s="411"/>
      <c r="DT38" s="411"/>
      <c r="DU38" s="411"/>
      <c r="DV38" s="411"/>
      <c r="DW38" s="411"/>
      <c r="DX38" s="411"/>
      <c r="DY38" s="411"/>
      <c r="DZ38" s="411"/>
      <c r="EA38" s="411"/>
      <c r="EB38" s="411"/>
      <c r="EC38" s="411"/>
      <c r="ED38" s="411"/>
      <c r="EE38" s="411"/>
      <c r="EF38" s="411"/>
      <c r="EG38" s="411"/>
    </row>
    <row r="39" spans="1:137" s="352" customFormat="1" ht="12" customHeight="1">
      <c r="A39" s="276"/>
      <c r="B39" s="283" t="str">
        <f>UPPER(LEFT(TRIM(Data!B36),1)) &amp; MID(TRIM(Data!B36),2,50)</f>
        <v>Skydliaukės</v>
      </c>
      <c r="C39" s="283" t="str">
        <f>Data!C36</f>
        <v>C73</v>
      </c>
      <c r="D39" s="284">
        <f>Data!D36+Data!BQ36</f>
        <v>344</v>
      </c>
      <c r="E39" s="285">
        <f t="shared" si="8"/>
        <v>11.842019201971834</v>
      </c>
      <c r="F39" s="286">
        <f t="shared" si="9"/>
        <v>10.44163281667619</v>
      </c>
      <c r="G39" s="286">
        <f t="shared" si="10"/>
        <v>8.4392502476004925</v>
      </c>
      <c r="H39" s="281"/>
      <c r="I39" s="281"/>
      <c r="J39" s="281"/>
      <c r="K39" s="281"/>
      <c r="L39" s="281"/>
      <c r="M39" s="281"/>
      <c r="N39" s="281"/>
      <c r="O39" s="277"/>
      <c r="P39" s="360"/>
      <c r="Q39" s="424" t="s">
        <v>353</v>
      </c>
      <c r="R39" s="416">
        <f t="shared" si="3"/>
        <v>1044163.281667619</v>
      </c>
      <c r="S39" s="416">
        <f>(Data!Q36+Data!CD36)/S$6*100000*S$3</f>
        <v>0</v>
      </c>
      <c r="T39" s="416">
        <f>(Data!R36+Data!CE36)/T$6*100000*T$3</f>
        <v>0</v>
      </c>
      <c r="U39" s="416">
        <f>(Data!S36+Data!CF36)/U$6*100000*U$3</f>
        <v>0</v>
      </c>
      <c r="V39" s="416">
        <f>(Data!T36+Data!CG36)/V$6*100000*V$3</f>
        <v>29470.138930654961</v>
      </c>
      <c r="W39" s="416">
        <f>(Data!U36+Data!CH36)/W$6*100000*W$3</f>
        <v>24315.807756246431</v>
      </c>
      <c r="X39" s="416">
        <f>(Data!V36+Data!CI36)/X$6*100000*X$3</f>
        <v>35784.576847378776</v>
      </c>
      <c r="Y39" s="416">
        <f>(Data!W36+Data!CJ36)/Y$6*100000*Y$3</f>
        <v>58952.001841548241</v>
      </c>
      <c r="Z39" s="416">
        <f>(Data!X36+Data!CK36)/Z$6*100000*Z$3</f>
        <v>111141.35365632371</v>
      </c>
      <c r="AA39" s="416">
        <f>(Data!Y36+Data!CL36)/AA$6*100000*AA$3</f>
        <v>120364.9384014727</v>
      </c>
      <c r="AB39" s="416">
        <f>(Data!Z36+Data!CM36)/AB$6*100000*AB$3</f>
        <v>138100.27908767201</v>
      </c>
      <c r="AC39" s="416">
        <f>(Data!AA36+Data!CN36)/AC$6*100000*AC$3</f>
        <v>108796.04959323599</v>
      </c>
      <c r="AD39" s="416">
        <f>(Data!AB36+Data!CO36)/AD$6*100000*AD$3</f>
        <v>118177.25650561108</v>
      </c>
      <c r="AE39" s="416">
        <f>(Data!AC36+Data!CP36)/AE$6*100000*AE$3</f>
        <v>108416.01275206722</v>
      </c>
      <c r="AF39" s="416">
        <f>(Data!AD36+Data!CQ36)/AF$6*100000*AF$3</f>
        <v>90872.166268527246</v>
      </c>
      <c r="AG39" s="416">
        <f>(Data!AE36+Data!CR36)/AG$6*100000*AG$3</f>
        <v>52459.116101907537</v>
      </c>
      <c r="AH39" s="416">
        <f>(Data!AF36+Data!CS36)/AH$6*100000*AH$3</f>
        <v>29865.852545649122</v>
      </c>
      <c r="AI39" s="416">
        <f>(Data!AG36+Data!CT36)/AI$6*100000*AI$3</f>
        <v>12800.819252432157</v>
      </c>
      <c r="AJ39" s="416">
        <f>(Data!AH36+Data!CU36)/AJ$6*100000*AJ$3</f>
        <v>4646.9121268916806</v>
      </c>
      <c r="AK39" s="424" t="s">
        <v>353</v>
      </c>
      <c r="AL39" s="416">
        <f t="shared" si="4"/>
        <v>843925.0247600493</v>
      </c>
      <c r="AM39" s="416">
        <f>(Data!Q36+Data!CD36)/AM$6*100000*AM$3</f>
        <v>0</v>
      </c>
      <c r="AN39" s="416">
        <f>(Data!R36+Data!CE36)/AN$6*100000*AN$3</f>
        <v>0</v>
      </c>
      <c r="AO39" s="416">
        <f>(Data!S36+Data!CF36)/AO$6*100000*AO$3</f>
        <v>0</v>
      </c>
      <c r="AP39" s="416">
        <f>(Data!T36+Data!CG36)/AP$6*100000*AP$3</f>
        <v>37890.17862512781</v>
      </c>
      <c r="AQ39" s="416">
        <f>(Data!U36+Data!CH36)/AQ$6*100000*AQ$3</f>
        <v>27789.494578567352</v>
      </c>
      <c r="AR39" s="416">
        <f>(Data!V36+Data!CI36)/AR$6*100000*AR$3</f>
        <v>40896.659254147176</v>
      </c>
      <c r="AS39" s="416">
        <f>(Data!W36+Data!CJ36)/AS$6*100000*AS$3</f>
        <v>50530.287292755631</v>
      </c>
      <c r="AT39" s="416">
        <f>(Data!X36+Data!CK36)/AT$6*100000*AT$3</f>
        <v>95264.017419706041</v>
      </c>
      <c r="AU39" s="416">
        <f>(Data!Y36+Data!CL36)/AU$6*100000*AU$3</f>
        <v>103169.94720126232</v>
      </c>
      <c r="AV39" s="416">
        <f>(Data!Z36+Data!CM36)/AV$6*100000*AV$3</f>
        <v>118371.66778943317</v>
      </c>
      <c r="AW39" s="416">
        <f>(Data!AA36+Data!CN36)/AW$6*100000*AW$3</f>
        <v>77711.463995168568</v>
      </c>
      <c r="AX39" s="416">
        <f>(Data!AB36+Data!CO36)/AX$6*100000*AX$3</f>
        <v>78784.837670407389</v>
      </c>
      <c r="AY39" s="416">
        <f>(Data!AC36+Data!CP36)/AY$6*100000*AY$3</f>
        <v>86732.810201653774</v>
      </c>
      <c r="AZ39" s="416">
        <f>(Data!AD36+Data!CQ36)/AZ$6*100000*AZ$3</f>
        <v>68154.124701395442</v>
      </c>
      <c r="BA39" s="416">
        <f>(Data!AE36+Data!CR36)/BA$6*100000*BA$3</f>
        <v>34972.744067938358</v>
      </c>
      <c r="BB39" s="416">
        <f>(Data!AF36+Data!CS36)/BB$6*100000*BB$3</f>
        <v>14932.926272824561</v>
      </c>
      <c r="BC39" s="416">
        <f>(Data!AG36+Data!CT36)/BC$6*100000*BC$3</f>
        <v>6400.4096262160783</v>
      </c>
      <c r="BD39" s="416">
        <f>(Data!AH36+Data!CU36)/BD$6*100000*BD$3</f>
        <v>2323.4560634458403</v>
      </c>
      <c r="BE39" s="411"/>
      <c r="BF39" s="411"/>
      <c r="BG39" s="411"/>
      <c r="BH39" s="411"/>
      <c r="BI39" s="411"/>
      <c r="BJ39" s="411"/>
      <c r="BK39" s="411"/>
      <c r="BL39" s="411"/>
      <c r="BM39" s="411"/>
      <c r="BN39" s="411"/>
      <c r="BO39" s="411"/>
      <c r="BP39" s="411"/>
      <c r="BQ39" s="411"/>
      <c r="BR39" s="411"/>
      <c r="BS39" s="411"/>
      <c r="BT39" s="411"/>
      <c r="BU39" s="411"/>
      <c r="BV39" s="411"/>
      <c r="BW39" s="411"/>
      <c r="BX39" s="411"/>
      <c r="BY39" s="411"/>
      <c r="BZ39" s="411"/>
      <c r="CA39" s="411"/>
      <c r="CB39" s="411"/>
      <c r="CC39" s="411"/>
      <c r="CD39" s="411"/>
      <c r="CE39" s="411"/>
      <c r="CF39" s="411"/>
      <c r="CG39" s="411"/>
      <c r="CH39" s="411"/>
      <c r="CI39" s="411"/>
      <c r="CJ39" s="411"/>
      <c r="CK39" s="411"/>
      <c r="CL39" s="411"/>
      <c r="CM39" s="411"/>
      <c r="CN39" s="411"/>
      <c r="CO39" s="411"/>
      <c r="CP39" s="411"/>
      <c r="CQ39" s="411"/>
      <c r="CR39" s="411"/>
      <c r="CS39" s="411"/>
      <c r="CT39" s="411"/>
      <c r="CU39" s="411"/>
      <c r="CV39" s="411"/>
      <c r="CW39" s="411"/>
      <c r="CX39" s="411"/>
      <c r="CY39" s="411"/>
      <c r="CZ39" s="411"/>
      <c r="DA39" s="411"/>
      <c r="DB39" s="411"/>
      <c r="DC39" s="411"/>
      <c r="DD39" s="411"/>
      <c r="DE39" s="411"/>
      <c r="DF39" s="411"/>
      <c r="DG39" s="411"/>
      <c r="DH39" s="411"/>
      <c r="DI39" s="411"/>
      <c r="DJ39" s="411"/>
      <c r="DK39" s="411"/>
      <c r="DL39" s="411"/>
      <c r="DM39" s="411"/>
      <c r="DN39" s="411"/>
      <c r="DO39" s="411"/>
      <c r="DP39" s="411"/>
      <c r="DQ39" s="411"/>
      <c r="DR39" s="411"/>
      <c r="DS39" s="411"/>
      <c r="DT39" s="411"/>
      <c r="DU39" s="411"/>
      <c r="DV39" s="411"/>
      <c r="DW39" s="411"/>
      <c r="DX39" s="411"/>
      <c r="DY39" s="411"/>
      <c r="DZ39" s="411"/>
      <c r="EA39" s="411"/>
      <c r="EB39" s="411"/>
      <c r="EC39" s="411"/>
      <c r="ED39" s="411"/>
      <c r="EE39" s="411"/>
      <c r="EF39" s="411"/>
      <c r="EG39" s="411"/>
    </row>
    <row r="40" spans="1:137" s="352" customFormat="1" ht="12" customHeight="1">
      <c r="A40" s="276"/>
      <c r="B40" s="129" t="str">
        <f>UPPER(LEFT(TRIM(Data!B37),1)) &amp; MID(TRIM(Data!B37),2,50)</f>
        <v>Kitų endokrininių liaukų</v>
      </c>
      <c r="C40" s="129" t="str">
        <f>Data!C37</f>
        <v>C74-C75</v>
      </c>
      <c r="D40" s="130">
        <f>Data!D37+Data!BQ37</f>
        <v>20</v>
      </c>
      <c r="E40" s="131">
        <f t="shared" si="8"/>
        <v>0.68848948848673452</v>
      </c>
      <c r="F40" s="132">
        <f t="shared" si="9"/>
        <v>0.51165797059182749</v>
      </c>
      <c r="G40" s="133">
        <f t="shared" si="10"/>
        <v>0.40234837042846266</v>
      </c>
      <c r="H40" s="281"/>
      <c r="I40" s="281"/>
      <c r="J40" s="281"/>
      <c r="K40" s="281"/>
      <c r="L40" s="281"/>
      <c r="M40" s="281"/>
      <c r="N40" s="281"/>
      <c r="O40" s="277"/>
      <c r="P40" s="360"/>
      <c r="Q40" s="424" t="s">
        <v>353</v>
      </c>
      <c r="R40" s="416">
        <f t="shared" si="3"/>
        <v>51165.797059182747</v>
      </c>
      <c r="S40" s="416">
        <f>(Data!Q37+Data!CD37)/S$6*100000*S$3</f>
        <v>5298.5746834101628</v>
      </c>
      <c r="T40" s="416">
        <f>(Data!R37+Data!CE37)/T$6*100000*T$3</f>
        <v>0</v>
      </c>
      <c r="U40" s="416">
        <f>(Data!S37+Data!CF37)/U$6*100000*U$3</f>
        <v>0</v>
      </c>
      <c r="V40" s="416">
        <f>(Data!T37+Data!CG37)/V$6*100000*V$3</f>
        <v>0</v>
      </c>
      <c r="W40" s="416">
        <f>(Data!U37+Data!CH37)/W$6*100000*W$3</f>
        <v>3473.6868223209194</v>
      </c>
      <c r="X40" s="416">
        <f>(Data!V37+Data!CI37)/X$6*100000*X$3</f>
        <v>0</v>
      </c>
      <c r="Y40" s="416">
        <f>(Data!W37+Data!CJ37)/Y$6*100000*Y$3</f>
        <v>0</v>
      </c>
      <c r="Z40" s="416">
        <f>(Data!X37+Data!CK37)/Z$6*100000*Z$3</f>
        <v>0</v>
      </c>
      <c r="AA40" s="416">
        <f>(Data!Y37+Data!CL37)/AA$6*100000*AA$3</f>
        <v>3540.1452471021375</v>
      </c>
      <c r="AB40" s="416">
        <f>(Data!Z37+Data!CM37)/AB$6*100000*AB$3</f>
        <v>0</v>
      </c>
      <c r="AC40" s="416">
        <f>(Data!AA37+Data!CN37)/AC$6*100000*AC$3</f>
        <v>6216.9171196134857</v>
      </c>
      <c r="AD40" s="416">
        <f>(Data!AB37+Data!CO37)/AD$6*100000*AD$3</f>
        <v>5627.4884050290993</v>
      </c>
      <c r="AE40" s="416">
        <f>(Data!AC37+Data!CP37)/AE$6*100000*AE$3</f>
        <v>0</v>
      </c>
      <c r="AF40" s="416">
        <f>(Data!AD37+Data!CQ37)/AF$6*100000*AF$3</f>
        <v>8261.106024411567</v>
      </c>
      <c r="AG40" s="416">
        <f>(Data!AE37+Data!CR37)/AG$6*100000*AG$3</f>
        <v>9123.3245394621808</v>
      </c>
      <c r="AH40" s="416">
        <f>(Data!AF37+Data!CS37)/AH$6*100000*AH$3</f>
        <v>4977.642090941521</v>
      </c>
      <c r="AI40" s="416">
        <f>(Data!AG37+Data!CT37)/AI$6*100000*AI$3</f>
        <v>0</v>
      </c>
      <c r="AJ40" s="416">
        <f>(Data!AH37+Data!CU37)/AJ$6*100000*AJ$3</f>
        <v>4646.9121268916806</v>
      </c>
      <c r="AK40" s="424" t="s">
        <v>353</v>
      </c>
      <c r="AL40" s="416">
        <f t="shared" si="4"/>
        <v>40234.837042846266</v>
      </c>
      <c r="AM40" s="416">
        <f>(Data!Q37+Data!CD37)/AM$6*100000*AM$3</f>
        <v>7947.8620251152443</v>
      </c>
      <c r="AN40" s="416">
        <f>(Data!R37+Data!CE37)/AN$6*100000*AN$3</f>
        <v>0</v>
      </c>
      <c r="AO40" s="416">
        <f>(Data!S37+Data!CF37)/AO$6*100000*AO$3</f>
        <v>0</v>
      </c>
      <c r="AP40" s="416">
        <f>(Data!T37+Data!CG37)/AP$6*100000*AP$3</f>
        <v>0</v>
      </c>
      <c r="AQ40" s="416">
        <f>(Data!U37+Data!CH37)/AQ$6*100000*AQ$3</f>
        <v>3969.9277969381933</v>
      </c>
      <c r="AR40" s="416">
        <f>(Data!V37+Data!CI37)/AR$6*100000*AR$3</f>
        <v>0</v>
      </c>
      <c r="AS40" s="416">
        <f>(Data!W37+Data!CJ37)/AS$6*100000*AS$3</f>
        <v>0</v>
      </c>
      <c r="AT40" s="416">
        <f>(Data!X37+Data!CK37)/AT$6*100000*AT$3</f>
        <v>0</v>
      </c>
      <c r="AU40" s="416">
        <f>(Data!Y37+Data!CL37)/AU$6*100000*AU$3</f>
        <v>3034.4102118018322</v>
      </c>
      <c r="AV40" s="416">
        <f>(Data!Z37+Data!CM37)/AV$6*100000*AV$3</f>
        <v>0</v>
      </c>
      <c r="AW40" s="416">
        <f>(Data!AA37+Data!CN37)/AW$6*100000*AW$3</f>
        <v>4440.655085438204</v>
      </c>
      <c r="AX40" s="416">
        <f>(Data!AB37+Data!CO37)/AX$6*100000*AX$3</f>
        <v>3751.6589366860658</v>
      </c>
      <c r="AY40" s="416">
        <f>(Data!AC37+Data!CP37)/AY$6*100000*AY$3</f>
        <v>0</v>
      </c>
      <c r="AZ40" s="416">
        <f>(Data!AD37+Data!CQ37)/AZ$6*100000*AZ$3</f>
        <v>6195.8295183086757</v>
      </c>
      <c r="BA40" s="416">
        <f>(Data!AE37+Data!CR37)/BA$6*100000*BA$3</f>
        <v>6082.216359641453</v>
      </c>
      <c r="BB40" s="416">
        <f>(Data!AF37+Data!CS37)/BB$6*100000*BB$3</f>
        <v>2488.8210454707605</v>
      </c>
      <c r="BC40" s="416">
        <f>(Data!AG37+Data!CT37)/BC$6*100000*BC$3</f>
        <v>0</v>
      </c>
      <c r="BD40" s="416">
        <f>(Data!AH37+Data!CU37)/BD$6*100000*BD$3</f>
        <v>2323.4560634458403</v>
      </c>
      <c r="BE40" s="411"/>
      <c r="BF40" s="411"/>
      <c r="BG40" s="411"/>
      <c r="BH40" s="411"/>
      <c r="BI40" s="411"/>
      <c r="BJ40" s="411"/>
      <c r="BK40" s="411"/>
      <c r="BL40" s="411"/>
      <c r="BM40" s="411"/>
      <c r="BN40" s="411"/>
      <c r="BO40" s="411"/>
      <c r="BP40" s="411"/>
      <c r="BQ40" s="411"/>
      <c r="BR40" s="411"/>
      <c r="BS40" s="411"/>
      <c r="BT40" s="411"/>
      <c r="BU40" s="411"/>
      <c r="BV40" s="411"/>
      <c r="BW40" s="411"/>
      <c r="BX40" s="411"/>
      <c r="BY40" s="411"/>
      <c r="BZ40" s="411"/>
      <c r="CA40" s="411"/>
      <c r="CB40" s="411"/>
      <c r="CC40" s="411"/>
      <c r="CD40" s="411"/>
      <c r="CE40" s="411"/>
      <c r="CF40" s="411"/>
      <c r="CG40" s="411"/>
      <c r="CH40" s="411"/>
      <c r="CI40" s="411"/>
      <c r="CJ40" s="411"/>
      <c r="CK40" s="411"/>
      <c r="CL40" s="411"/>
      <c r="CM40" s="411"/>
      <c r="CN40" s="411"/>
      <c r="CO40" s="411"/>
      <c r="CP40" s="411"/>
      <c r="CQ40" s="411"/>
      <c r="CR40" s="411"/>
      <c r="CS40" s="411"/>
      <c r="CT40" s="411"/>
      <c r="CU40" s="411"/>
      <c r="CV40" s="411"/>
      <c r="CW40" s="411"/>
      <c r="CX40" s="411"/>
      <c r="CY40" s="411"/>
      <c r="CZ40" s="411"/>
      <c r="DA40" s="411"/>
      <c r="DB40" s="411"/>
      <c r="DC40" s="411"/>
      <c r="DD40" s="411"/>
      <c r="DE40" s="411"/>
      <c r="DF40" s="411"/>
      <c r="DG40" s="411"/>
      <c r="DH40" s="411"/>
      <c r="DI40" s="411"/>
      <c r="DJ40" s="411"/>
      <c r="DK40" s="411"/>
      <c r="DL40" s="411"/>
      <c r="DM40" s="411"/>
      <c r="DN40" s="411"/>
      <c r="DO40" s="411"/>
      <c r="DP40" s="411"/>
      <c r="DQ40" s="411"/>
      <c r="DR40" s="411"/>
      <c r="DS40" s="411"/>
      <c r="DT40" s="411"/>
      <c r="DU40" s="411"/>
      <c r="DV40" s="411"/>
      <c r="DW40" s="411"/>
      <c r="DX40" s="411"/>
      <c r="DY40" s="411"/>
      <c r="DZ40" s="411"/>
      <c r="EA40" s="411"/>
      <c r="EB40" s="411"/>
      <c r="EC40" s="411"/>
      <c r="ED40" s="411"/>
      <c r="EE40" s="411"/>
      <c r="EF40" s="411"/>
      <c r="EG40" s="411"/>
    </row>
    <row r="41" spans="1:137" s="352" customFormat="1" ht="12" customHeight="1">
      <c r="A41" s="276"/>
      <c r="B41" s="283" t="str">
        <f>UPPER(LEFT(TRIM(Data!B38),1)) &amp; MID(TRIM(Data!B38),2,50)</f>
        <v>Nepatikslintos lokalizacijos</v>
      </c>
      <c r="C41" s="283" t="str">
        <f>Data!C38</f>
        <v>C76-C80</v>
      </c>
      <c r="D41" s="284">
        <f>Data!D38+Data!BQ38</f>
        <v>432</v>
      </c>
      <c r="E41" s="285">
        <f t="shared" si="8"/>
        <v>14.871372951313466</v>
      </c>
      <c r="F41" s="286">
        <f t="shared" si="9"/>
        <v>9.3544410818761961</v>
      </c>
      <c r="G41" s="286">
        <f t="shared" si="10"/>
        <v>6.1873316058287902</v>
      </c>
      <c r="H41" s="281"/>
      <c r="I41" s="281"/>
      <c r="J41" s="281"/>
      <c r="K41" s="281"/>
      <c r="L41" s="281"/>
      <c r="M41" s="281"/>
      <c r="N41" s="281"/>
      <c r="O41" s="277"/>
      <c r="P41" s="360"/>
      <c r="Q41" s="424" t="s">
        <v>353</v>
      </c>
      <c r="R41" s="416">
        <f t="shared" si="3"/>
        <v>935444.1081876196</v>
      </c>
      <c r="S41" s="416">
        <f>(Data!Q38+Data!CD38)/S$6*100000*S$3</f>
        <v>0</v>
      </c>
      <c r="T41" s="416">
        <f>(Data!R38+Data!CE38)/T$6*100000*T$3</f>
        <v>0</v>
      </c>
      <c r="U41" s="416">
        <f>(Data!S38+Data!CF38)/U$6*100000*U$3</f>
        <v>0</v>
      </c>
      <c r="V41" s="416">
        <f>(Data!T38+Data!CG38)/V$6*100000*V$3</f>
        <v>0</v>
      </c>
      <c r="W41" s="416">
        <f>(Data!U38+Data!CH38)/W$6*100000*W$3</f>
        <v>0</v>
      </c>
      <c r="X41" s="416">
        <f>(Data!V38+Data!CI38)/X$6*100000*X$3</f>
        <v>3578.4576847378785</v>
      </c>
      <c r="Y41" s="416">
        <f>(Data!W38+Data!CJ38)/Y$6*100000*Y$3</f>
        <v>3930.1334561032168</v>
      </c>
      <c r="Z41" s="416">
        <f>(Data!X38+Data!CK38)/Z$6*100000*Z$3</f>
        <v>3969.3340591544188</v>
      </c>
      <c r="AA41" s="416">
        <f>(Data!Y38+Data!CL38)/AA$6*100000*AA$3</f>
        <v>17700.72623551069</v>
      </c>
      <c r="AB41" s="416">
        <f>(Data!Z38+Data!CM38)/AB$6*100000*AB$3</f>
        <v>20209.796939659318</v>
      </c>
      <c r="AC41" s="416">
        <f>(Data!AA38+Data!CN38)/AC$6*100000*AC$3</f>
        <v>62169.171196134863</v>
      </c>
      <c r="AD41" s="416">
        <f>(Data!AB38+Data!CO38)/AD$6*100000*AD$3</f>
        <v>115363.51230309652</v>
      </c>
      <c r="AE41" s="416">
        <f>(Data!AC38+Data!CP38)/AE$6*100000*AE$3</f>
        <v>123066.82528613036</v>
      </c>
      <c r="AF41" s="416">
        <f>(Data!AD38+Data!CQ38)/AF$6*100000*AF$3</f>
        <v>154207.31245568264</v>
      </c>
      <c r="AG41" s="416">
        <f>(Data!AE38+Data!CR38)/AG$6*100000*AG$3</f>
        <v>145973.19263139489</v>
      </c>
      <c r="AH41" s="416">
        <f>(Data!AF38+Data!CS38)/AH$6*100000*AH$3</f>
        <v>124441.05227353802</v>
      </c>
      <c r="AI41" s="416">
        <f>(Data!AG38+Data!CT38)/AI$6*100000*AI$3</f>
        <v>75641.204673462737</v>
      </c>
      <c r="AJ41" s="416">
        <f>(Data!AH38+Data!CU38)/AJ$6*100000*AJ$3</f>
        <v>85193.388993014145</v>
      </c>
      <c r="AK41" s="424" t="s">
        <v>353</v>
      </c>
      <c r="AL41" s="416">
        <f t="shared" si="4"/>
        <v>618733.16058287898</v>
      </c>
      <c r="AM41" s="416">
        <f>(Data!Q38+Data!CD38)/AM$6*100000*AM$3</f>
        <v>0</v>
      </c>
      <c r="AN41" s="416">
        <f>(Data!R38+Data!CE38)/AN$6*100000*AN$3</f>
        <v>0</v>
      </c>
      <c r="AO41" s="416">
        <f>(Data!S38+Data!CF38)/AO$6*100000*AO$3</f>
        <v>0</v>
      </c>
      <c r="AP41" s="416">
        <f>(Data!T38+Data!CG38)/AP$6*100000*AP$3</f>
        <v>0</v>
      </c>
      <c r="AQ41" s="416">
        <f>(Data!U38+Data!CH38)/AQ$6*100000*AQ$3</f>
        <v>0</v>
      </c>
      <c r="AR41" s="416">
        <f>(Data!V38+Data!CI38)/AR$6*100000*AR$3</f>
        <v>4089.6659254147185</v>
      </c>
      <c r="AS41" s="416">
        <f>(Data!W38+Data!CJ38)/AS$6*100000*AS$3</f>
        <v>3368.685819517043</v>
      </c>
      <c r="AT41" s="416">
        <f>(Data!X38+Data!CK38)/AT$6*100000*AT$3</f>
        <v>3402.286336418073</v>
      </c>
      <c r="AU41" s="416">
        <f>(Data!Y38+Data!CL38)/AU$6*100000*AU$3</f>
        <v>15172.051059009164</v>
      </c>
      <c r="AV41" s="416">
        <f>(Data!Z38+Data!CM38)/AV$6*100000*AV$3</f>
        <v>17322.683091136558</v>
      </c>
      <c r="AW41" s="416">
        <f>(Data!AA38+Data!CN38)/AW$6*100000*AW$3</f>
        <v>44406.550854382047</v>
      </c>
      <c r="AX41" s="416">
        <f>(Data!AB38+Data!CO38)/AX$6*100000*AX$3</f>
        <v>76909.008202064346</v>
      </c>
      <c r="AY41" s="416">
        <f>(Data!AC38+Data!CP38)/AY$6*100000*AY$3</f>
        <v>98453.460228904296</v>
      </c>
      <c r="AZ41" s="416">
        <f>(Data!AD38+Data!CQ38)/AZ$6*100000*AZ$3</f>
        <v>115655.48434176197</v>
      </c>
      <c r="BA41" s="416">
        <f>(Data!AE38+Data!CR38)/BA$6*100000*BA$3</f>
        <v>97315.461754263248</v>
      </c>
      <c r="BB41" s="416">
        <f>(Data!AF38+Data!CS38)/BB$6*100000*BB$3</f>
        <v>62220.526136769011</v>
      </c>
      <c r="BC41" s="416">
        <f>(Data!AG38+Data!CT38)/BC$6*100000*BC$3</f>
        <v>37820.602336731368</v>
      </c>
      <c r="BD41" s="416">
        <f>(Data!AH38+Data!CU38)/BD$6*100000*BD$3</f>
        <v>42596.694496507072</v>
      </c>
      <c r="BE41" s="411"/>
      <c r="BF41" s="411"/>
      <c r="BG41" s="411"/>
      <c r="BH41" s="411"/>
      <c r="BI41" s="411"/>
      <c r="BJ41" s="411"/>
      <c r="BK41" s="411"/>
      <c r="BL41" s="411"/>
      <c r="BM41" s="411"/>
      <c r="BN41" s="411"/>
      <c r="BO41" s="411"/>
      <c r="BP41" s="411"/>
      <c r="BQ41" s="411"/>
      <c r="BR41" s="411"/>
      <c r="BS41" s="411"/>
      <c r="BT41" s="411"/>
      <c r="BU41" s="411"/>
      <c r="BV41" s="411"/>
      <c r="BW41" s="411"/>
      <c r="BX41" s="411"/>
      <c r="BY41" s="411"/>
      <c r="BZ41" s="411"/>
      <c r="CA41" s="411"/>
      <c r="CB41" s="411"/>
      <c r="CC41" s="411"/>
      <c r="CD41" s="411"/>
      <c r="CE41" s="411"/>
      <c r="CF41" s="411"/>
      <c r="CG41" s="411"/>
      <c r="CH41" s="411"/>
      <c r="CI41" s="411"/>
      <c r="CJ41" s="411"/>
      <c r="CK41" s="411"/>
      <c r="CL41" s="411"/>
      <c r="CM41" s="411"/>
      <c r="CN41" s="411"/>
      <c r="CO41" s="411"/>
      <c r="CP41" s="411"/>
      <c r="CQ41" s="411"/>
      <c r="CR41" s="411"/>
      <c r="CS41" s="411"/>
      <c r="CT41" s="411"/>
      <c r="CU41" s="411"/>
      <c r="CV41" s="411"/>
      <c r="CW41" s="411"/>
      <c r="CX41" s="411"/>
      <c r="CY41" s="411"/>
      <c r="CZ41" s="411"/>
      <c r="DA41" s="411"/>
      <c r="DB41" s="411"/>
      <c r="DC41" s="411"/>
      <c r="DD41" s="411"/>
      <c r="DE41" s="411"/>
      <c r="DF41" s="411"/>
      <c r="DG41" s="411"/>
      <c r="DH41" s="411"/>
      <c r="DI41" s="411"/>
      <c r="DJ41" s="411"/>
      <c r="DK41" s="411"/>
      <c r="DL41" s="411"/>
      <c r="DM41" s="411"/>
      <c r="DN41" s="411"/>
      <c r="DO41" s="411"/>
      <c r="DP41" s="411"/>
      <c r="DQ41" s="411"/>
      <c r="DR41" s="411"/>
      <c r="DS41" s="411"/>
      <c r="DT41" s="411"/>
      <c r="DU41" s="411"/>
      <c r="DV41" s="411"/>
      <c r="DW41" s="411"/>
      <c r="DX41" s="411"/>
      <c r="DY41" s="411"/>
      <c r="DZ41" s="411"/>
      <c r="EA41" s="411"/>
      <c r="EB41" s="411"/>
      <c r="EC41" s="411"/>
      <c r="ED41" s="411"/>
      <c r="EE41" s="411"/>
      <c r="EF41" s="411"/>
      <c r="EG41" s="411"/>
    </row>
    <row r="42" spans="1:137" s="352" customFormat="1" ht="12" customHeight="1">
      <c r="A42" s="276"/>
      <c r="B42" s="129" t="str">
        <f>UPPER(LEFT(TRIM(Data!B39),1)) &amp; MID(TRIM(Data!B39),2,50)</f>
        <v>Hodžkino limfomos</v>
      </c>
      <c r="C42" s="129" t="str">
        <f>Data!C39</f>
        <v>C81</v>
      </c>
      <c r="D42" s="130">
        <f>Data!D39+Data!BQ39</f>
        <v>48</v>
      </c>
      <c r="E42" s="131">
        <f t="shared" si="8"/>
        <v>1.6523747723681628</v>
      </c>
      <c r="F42" s="132">
        <f t="shared" si="9"/>
        <v>1.6985220577266822</v>
      </c>
      <c r="G42" s="133">
        <f t="shared" si="10"/>
        <v>1.7133890060490629</v>
      </c>
      <c r="H42" s="281"/>
      <c r="I42" s="281"/>
      <c r="J42" s="281"/>
      <c r="K42" s="281"/>
      <c r="L42" s="281"/>
      <c r="M42" s="281"/>
      <c r="N42" s="281"/>
      <c r="O42" s="277"/>
      <c r="P42" s="360"/>
      <c r="Q42" s="424" t="s">
        <v>353</v>
      </c>
      <c r="R42" s="416">
        <f t="shared" si="3"/>
        <v>169852.20577266821</v>
      </c>
      <c r="S42" s="416">
        <f>(Data!Q39+Data!CD39)/S$6*100000*S$3</f>
        <v>0</v>
      </c>
      <c r="T42" s="416">
        <f>(Data!R39+Data!CE39)/T$6*100000*T$3</f>
        <v>5022.2053221027254</v>
      </c>
      <c r="U42" s="416">
        <f>(Data!S39+Data!CF39)/U$6*100000*U$3</f>
        <v>15643.623361144219</v>
      </c>
      <c r="V42" s="416">
        <f>(Data!T39+Data!CG39)/V$6*100000*V$3</f>
        <v>21050.099236182115</v>
      </c>
      <c r="W42" s="416">
        <f>(Data!U39+Data!CH39)/W$6*100000*W$3</f>
        <v>17368.434111604594</v>
      </c>
      <c r="X42" s="416">
        <f>(Data!V39+Data!CI39)/X$6*100000*X$3</f>
        <v>25049.203793165143</v>
      </c>
      <c r="Y42" s="416">
        <f>(Data!W39+Data!CJ39)/Y$6*100000*Y$3</f>
        <v>23580.800736619301</v>
      </c>
      <c r="Z42" s="416">
        <f>(Data!X39+Data!CK39)/Z$6*100000*Z$3</f>
        <v>11908.002177463255</v>
      </c>
      <c r="AA42" s="416">
        <f>(Data!Y39+Data!CL39)/AA$6*100000*AA$3</f>
        <v>17700.72623551069</v>
      </c>
      <c r="AB42" s="416">
        <f>(Data!Z39+Data!CM39)/AB$6*100000*AB$3</f>
        <v>0</v>
      </c>
      <c r="AC42" s="416">
        <f>(Data!AA39+Data!CN39)/AC$6*100000*AC$3</f>
        <v>9325.3756794202291</v>
      </c>
      <c r="AD42" s="416">
        <f>(Data!AB39+Data!CO39)/AD$6*100000*AD$3</f>
        <v>0</v>
      </c>
      <c r="AE42" s="416">
        <f>(Data!AC39+Data!CP39)/AE$6*100000*AE$3</f>
        <v>5860.3250136252564</v>
      </c>
      <c r="AF42" s="416">
        <f>(Data!AD39+Data!CQ39)/AF$6*100000*AF$3</f>
        <v>5507.4040162743795</v>
      </c>
      <c r="AG42" s="416">
        <f>(Data!AE39+Data!CR39)/AG$6*100000*AG$3</f>
        <v>9123.3245394621808</v>
      </c>
      <c r="AH42" s="416">
        <f>(Data!AF39+Data!CS39)/AH$6*100000*AH$3</f>
        <v>0</v>
      </c>
      <c r="AI42" s="416">
        <f>(Data!AG39+Data!CT39)/AI$6*100000*AI$3</f>
        <v>1163.7108411301961</v>
      </c>
      <c r="AJ42" s="416">
        <f>(Data!AH39+Data!CU39)/AJ$6*100000*AJ$3</f>
        <v>1548.9707089638935</v>
      </c>
      <c r="AK42" s="424" t="s">
        <v>353</v>
      </c>
      <c r="AL42" s="416">
        <f t="shared" si="4"/>
        <v>171338.90060490629</v>
      </c>
      <c r="AM42" s="416">
        <f>(Data!Q39+Data!CD39)/AM$6*100000*AM$3</f>
        <v>0</v>
      </c>
      <c r="AN42" s="416">
        <f>(Data!R39+Data!CE39)/AN$6*100000*AN$3</f>
        <v>7174.579031575322</v>
      </c>
      <c r="AO42" s="416">
        <f>(Data!S39+Data!CF39)/AO$6*100000*AO$3</f>
        <v>20113.230035756853</v>
      </c>
      <c r="AP42" s="416">
        <f>(Data!T39+Data!CG39)/AP$6*100000*AP$3</f>
        <v>27064.413303662717</v>
      </c>
      <c r="AQ42" s="416">
        <f>(Data!U39+Data!CH39)/AQ$6*100000*AQ$3</f>
        <v>19849.638984690966</v>
      </c>
      <c r="AR42" s="416">
        <f>(Data!V39+Data!CI39)/AR$6*100000*AR$3</f>
        <v>28627.661477903021</v>
      </c>
      <c r="AS42" s="416">
        <f>(Data!W39+Data!CJ39)/AS$6*100000*AS$3</f>
        <v>20212.114917102255</v>
      </c>
      <c r="AT42" s="416">
        <f>(Data!X39+Data!CK39)/AT$6*100000*AT$3</f>
        <v>10206.85900925422</v>
      </c>
      <c r="AU42" s="416">
        <f>(Data!Y39+Data!CL39)/AU$6*100000*AU$3</f>
        <v>15172.051059009164</v>
      </c>
      <c r="AV42" s="416">
        <f>(Data!Z39+Data!CM39)/AV$6*100000*AV$3</f>
        <v>0</v>
      </c>
      <c r="AW42" s="416">
        <f>(Data!AA39+Data!CN39)/AW$6*100000*AW$3</f>
        <v>6660.982628157306</v>
      </c>
      <c r="AX42" s="416">
        <f>(Data!AB39+Data!CO39)/AX$6*100000*AX$3</f>
        <v>0</v>
      </c>
      <c r="AY42" s="416">
        <f>(Data!AC39+Data!CP39)/AY$6*100000*AY$3</f>
        <v>4688.2600109002051</v>
      </c>
      <c r="AZ42" s="416">
        <f>(Data!AD39+Data!CQ39)/AZ$6*100000*AZ$3</f>
        <v>4130.5530122057844</v>
      </c>
      <c r="BA42" s="416">
        <f>(Data!AE39+Data!CR39)/BA$6*100000*BA$3</f>
        <v>6082.216359641453</v>
      </c>
      <c r="BB42" s="416">
        <f>(Data!AF39+Data!CS39)/BB$6*100000*BB$3</f>
        <v>0</v>
      </c>
      <c r="BC42" s="416">
        <f>(Data!AG39+Data!CT39)/BC$6*100000*BC$3</f>
        <v>581.85542056509803</v>
      </c>
      <c r="BD42" s="416">
        <f>(Data!AH39+Data!CU39)/BD$6*100000*BD$3</f>
        <v>774.48535448194673</v>
      </c>
      <c r="BE42" s="411"/>
      <c r="BF42" s="411"/>
      <c r="BG42" s="411"/>
      <c r="BH42" s="411"/>
      <c r="BI42" s="411"/>
      <c r="BJ42" s="411"/>
      <c r="BK42" s="411"/>
      <c r="BL42" s="411"/>
      <c r="BM42" s="411"/>
      <c r="BN42" s="411"/>
      <c r="BO42" s="411"/>
      <c r="BP42" s="411"/>
      <c r="BQ42" s="411"/>
      <c r="BR42" s="411"/>
      <c r="BS42" s="411"/>
      <c r="BT42" s="411"/>
      <c r="BU42" s="411"/>
      <c r="BV42" s="411"/>
      <c r="BW42" s="411"/>
      <c r="BX42" s="411"/>
      <c r="BY42" s="411"/>
      <c r="BZ42" s="411"/>
      <c r="CA42" s="411"/>
      <c r="CB42" s="411"/>
      <c r="CC42" s="411"/>
      <c r="CD42" s="411"/>
      <c r="CE42" s="411"/>
      <c r="CF42" s="411"/>
      <c r="CG42" s="411"/>
      <c r="CH42" s="411"/>
      <c r="CI42" s="411"/>
      <c r="CJ42" s="411"/>
      <c r="CK42" s="411"/>
      <c r="CL42" s="411"/>
      <c r="CM42" s="411"/>
      <c r="CN42" s="411"/>
      <c r="CO42" s="411"/>
      <c r="CP42" s="411"/>
      <c r="CQ42" s="411"/>
      <c r="CR42" s="411"/>
      <c r="CS42" s="411"/>
      <c r="CT42" s="411"/>
      <c r="CU42" s="411"/>
      <c r="CV42" s="411"/>
      <c r="CW42" s="411"/>
      <c r="CX42" s="411"/>
      <c r="CY42" s="411"/>
      <c r="CZ42" s="411"/>
      <c r="DA42" s="411"/>
      <c r="DB42" s="411"/>
      <c r="DC42" s="411"/>
      <c r="DD42" s="411"/>
      <c r="DE42" s="411"/>
      <c r="DF42" s="411"/>
      <c r="DG42" s="411"/>
      <c r="DH42" s="411"/>
      <c r="DI42" s="411"/>
      <c r="DJ42" s="411"/>
      <c r="DK42" s="411"/>
      <c r="DL42" s="411"/>
      <c r="DM42" s="411"/>
      <c r="DN42" s="411"/>
      <c r="DO42" s="411"/>
      <c r="DP42" s="411"/>
      <c r="DQ42" s="411"/>
      <c r="DR42" s="411"/>
      <c r="DS42" s="411"/>
      <c r="DT42" s="411"/>
      <c r="DU42" s="411"/>
      <c r="DV42" s="411"/>
      <c r="DW42" s="411"/>
      <c r="DX42" s="411"/>
      <c r="DY42" s="411"/>
      <c r="DZ42" s="411"/>
      <c r="EA42" s="411"/>
      <c r="EB42" s="411"/>
      <c r="EC42" s="411"/>
      <c r="ED42" s="411"/>
      <c r="EE42" s="411"/>
      <c r="EF42" s="411"/>
      <c r="EG42" s="411"/>
    </row>
    <row r="43" spans="1:137" s="352" customFormat="1" ht="12" customHeight="1">
      <c r="A43" s="276"/>
      <c r="B43" s="283" t="str">
        <f>UPPER(LEFT(TRIM(Data!B40),1)) &amp; MID(TRIM(Data!B40),2,50)</f>
        <v>Ne Hodžkino limfomos</v>
      </c>
      <c r="C43" s="283" t="str">
        <f>Data!C40</f>
        <v>C82-C85</v>
      </c>
      <c r="D43" s="284">
        <f>Data!D40+Data!BQ40</f>
        <v>370</v>
      </c>
      <c r="E43" s="285">
        <f t="shared" si="8"/>
        <v>12.73705553700459</v>
      </c>
      <c r="F43" s="286">
        <f t="shared" si="9"/>
        <v>9.3841608066845854</v>
      </c>
      <c r="G43" s="286">
        <f t="shared" si="10"/>
        <v>7.1103841417019042</v>
      </c>
      <c r="H43" s="281"/>
      <c r="I43" s="281"/>
      <c r="J43" s="281"/>
      <c r="K43" s="281"/>
      <c r="L43" s="281"/>
      <c r="M43" s="281"/>
      <c r="N43" s="281"/>
      <c r="O43" s="277"/>
      <c r="P43" s="360"/>
      <c r="Q43" s="424" t="s">
        <v>353</v>
      </c>
      <c r="R43" s="416">
        <f t="shared" si="3"/>
        <v>938416.0806684586</v>
      </c>
      <c r="S43" s="416">
        <f>(Data!Q40+Data!CD40)/S$6*100000*S$3</f>
        <v>15895.724050230489</v>
      </c>
      <c r="T43" s="416">
        <f>(Data!R40+Data!CE40)/T$6*100000*T$3</f>
        <v>5022.2053221027254</v>
      </c>
      <c r="U43" s="416">
        <f>(Data!S40+Data!CF40)/U$6*100000*U$3</f>
        <v>15643.623361144219</v>
      </c>
      <c r="V43" s="416">
        <f>(Data!T40+Data!CG40)/V$6*100000*V$3</f>
        <v>8420.0396944728454</v>
      </c>
      <c r="W43" s="416">
        <f>(Data!U40+Data!CH40)/W$6*100000*W$3</f>
        <v>10421.060466962757</v>
      </c>
      <c r="X43" s="416">
        <f>(Data!V40+Data!CI40)/X$6*100000*X$3</f>
        <v>25049.203793165143</v>
      </c>
      <c r="Y43" s="416">
        <f>(Data!W40+Data!CJ40)/Y$6*100000*Y$3</f>
        <v>47161.601473238603</v>
      </c>
      <c r="Z43" s="416">
        <f>(Data!X40+Data!CK40)/Z$6*100000*Z$3</f>
        <v>55570.676828161857</v>
      </c>
      <c r="AA43" s="416">
        <f>(Data!Y40+Data!CL40)/AA$6*100000*AA$3</f>
        <v>31861.307223919244</v>
      </c>
      <c r="AB43" s="416">
        <f>(Data!Z40+Data!CM40)/AB$6*100000*AB$3</f>
        <v>47156.192859205083</v>
      </c>
      <c r="AC43" s="416">
        <f>(Data!AA40+Data!CN40)/AC$6*100000*AC$3</f>
        <v>55952.254076521371</v>
      </c>
      <c r="AD43" s="416">
        <f>(Data!AB40+Data!CO40)/AD$6*100000*AD$3</f>
        <v>118177.25650561108</v>
      </c>
      <c r="AE43" s="416">
        <f>(Data!AC40+Data!CP40)/AE$6*100000*AE$3</f>
        <v>120136.66277931775</v>
      </c>
      <c r="AF43" s="416">
        <f>(Data!AD40+Data!CQ40)/AF$6*100000*AF$3</f>
        <v>110148.08032548756</v>
      </c>
      <c r="AG43" s="416">
        <f>(Data!AE40+Data!CR40)/AG$6*100000*AG$3</f>
        <v>116322.38787814279</v>
      </c>
      <c r="AH43" s="416">
        <f>(Data!AF40+Data!CS40)/AH$6*100000*AH$3</f>
        <v>59731.705091298245</v>
      </c>
      <c r="AI43" s="416">
        <f>(Data!AG40+Data!CT40)/AI$6*100000*AI$3</f>
        <v>57021.8312153796</v>
      </c>
      <c r="AJ43" s="416">
        <f>(Data!AH40+Data!CU40)/AJ$6*100000*AJ$3</f>
        <v>38724.267724097335</v>
      </c>
      <c r="AK43" s="424" t="s">
        <v>353</v>
      </c>
      <c r="AL43" s="416">
        <f t="shared" si="4"/>
        <v>711038.41417019046</v>
      </c>
      <c r="AM43" s="416">
        <f>(Data!Q40+Data!CD40)/AM$6*100000*AM$3</f>
        <v>23843.586075345731</v>
      </c>
      <c r="AN43" s="416">
        <f>(Data!R40+Data!CE40)/AN$6*100000*AN$3</f>
        <v>7174.579031575322</v>
      </c>
      <c r="AO43" s="416">
        <f>(Data!S40+Data!CF40)/AO$6*100000*AO$3</f>
        <v>20113.230035756853</v>
      </c>
      <c r="AP43" s="416">
        <f>(Data!T40+Data!CG40)/AP$6*100000*AP$3</f>
        <v>10825.765321465087</v>
      </c>
      <c r="AQ43" s="416">
        <f>(Data!U40+Data!CH40)/AQ$6*100000*AQ$3</f>
        <v>11909.78339081458</v>
      </c>
      <c r="AR43" s="416">
        <f>(Data!V40+Data!CI40)/AR$6*100000*AR$3</f>
        <v>28627.661477903021</v>
      </c>
      <c r="AS43" s="416">
        <f>(Data!W40+Data!CJ40)/AS$6*100000*AS$3</f>
        <v>40424.229834204511</v>
      </c>
      <c r="AT43" s="416">
        <f>(Data!X40+Data!CK40)/AT$6*100000*AT$3</f>
        <v>47632.00870985302</v>
      </c>
      <c r="AU43" s="416">
        <f>(Data!Y40+Data!CL40)/AU$6*100000*AU$3</f>
        <v>27309.691906216496</v>
      </c>
      <c r="AV43" s="416">
        <f>(Data!Z40+Data!CM40)/AV$6*100000*AV$3</f>
        <v>40419.593879318643</v>
      </c>
      <c r="AW43" s="416">
        <f>(Data!AA40+Data!CN40)/AW$6*100000*AW$3</f>
        <v>39965.895768943832</v>
      </c>
      <c r="AX43" s="416">
        <f>(Data!AB40+Data!CO40)/AX$6*100000*AX$3</f>
        <v>78784.837670407389</v>
      </c>
      <c r="AY43" s="416">
        <f>(Data!AC40+Data!CP40)/AY$6*100000*AY$3</f>
        <v>96109.330223454192</v>
      </c>
      <c r="AZ43" s="416">
        <f>(Data!AD40+Data!CQ40)/AZ$6*100000*AZ$3</f>
        <v>82611.060244115681</v>
      </c>
      <c r="BA43" s="416">
        <f>(Data!AE40+Data!CR40)/BA$6*100000*BA$3</f>
        <v>77548.258585428528</v>
      </c>
      <c r="BB43" s="416">
        <f>(Data!AF40+Data!CS40)/BB$6*100000*BB$3</f>
        <v>29865.852545649122</v>
      </c>
      <c r="BC43" s="416">
        <f>(Data!AG40+Data!CT40)/BC$6*100000*BC$3</f>
        <v>28510.9156076898</v>
      </c>
      <c r="BD43" s="416">
        <f>(Data!AH40+Data!CU40)/BD$6*100000*BD$3</f>
        <v>19362.133862048668</v>
      </c>
      <c r="BE43" s="411"/>
      <c r="BF43" s="411"/>
      <c r="BG43" s="411"/>
      <c r="BH43" s="411"/>
      <c r="BI43" s="411"/>
      <c r="BJ43" s="411"/>
      <c r="BK43" s="411"/>
      <c r="BL43" s="411"/>
      <c r="BM43" s="411"/>
      <c r="BN43" s="411"/>
      <c r="BO43" s="411"/>
      <c r="BP43" s="411"/>
      <c r="BQ43" s="411"/>
      <c r="BR43" s="411"/>
      <c r="BS43" s="411"/>
      <c r="BT43" s="411"/>
      <c r="BU43" s="411"/>
      <c r="BV43" s="411"/>
      <c r="BW43" s="411"/>
      <c r="BX43" s="411"/>
      <c r="BY43" s="411"/>
      <c r="BZ43" s="411"/>
      <c r="CA43" s="411"/>
      <c r="CB43" s="411"/>
      <c r="CC43" s="411"/>
      <c r="CD43" s="411"/>
      <c r="CE43" s="411"/>
      <c r="CF43" s="411"/>
      <c r="CG43" s="411"/>
      <c r="CH43" s="411"/>
      <c r="CI43" s="411"/>
      <c r="CJ43" s="411"/>
      <c r="CK43" s="411"/>
      <c r="CL43" s="411"/>
      <c r="CM43" s="411"/>
      <c r="CN43" s="411"/>
      <c r="CO43" s="411"/>
      <c r="CP43" s="411"/>
      <c r="CQ43" s="411"/>
      <c r="CR43" s="411"/>
      <c r="CS43" s="411"/>
      <c r="CT43" s="411"/>
      <c r="CU43" s="411"/>
      <c r="CV43" s="411"/>
      <c r="CW43" s="411"/>
      <c r="CX43" s="411"/>
      <c r="CY43" s="411"/>
      <c r="CZ43" s="411"/>
      <c r="DA43" s="411"/>
      <c r="DB43" s="411"/>
      <c r="DC43" s="411"/>
      <c r="DD43" s="411"/>
      <c r="DE43" s="411"/>
      <c r="DF43" s="411"/>
      <c r="DG43" s="411"/>
      <c r="DH43" s="411"/>
      <c r="DI43" s="411"/>
      <c r="DJ43" s="411"/>
      <c r="DK43" s="411"/>
      <c r="DL43" s="411"/>
      <c r="DM43" s="411"/>
      <c r="DN43" s="411"/>
      <c r="DO43" s="411"/>
      <c r="DP43" s="411"/>
      <c r="DQ43" s="411"/>
      <c r="DR43" s="411"/>
      <c r="DS43" s="411"/>
      <c r="DT43" s="411"/>
      <c r="DU43" s="411"/>
      <c r="DV43" s="411"/>
      <c r="DW43" s="411"/>
      <c r="DX43" s="411"/>
      <c r="DY43" s="411"/>
      <c r="DZ43" s="411"/>
      <c r="EA43" s="411"/>
      <c r="EB43" s="411"/>
      <c r="EC43" s="411"/>
      <c r="ED43" s="411"/>
      <c r="EE43" s="411"/>
      <c r="EF43" s="411"/>
      <c r="EG43" s="411"/>
    </row>
    <row r="44" spans="1:137" s="352" customFormat="1" ht="12" customHeight="1">
      <c r="A44" s="276"/>
      <c r="B44" s="129" t="str">
        <f>UPPER(LEFT(TRIM(Data!B41),1)) &amp; MID(TRIM(Data!B41),2,50)</f>
        <v>Mielominės ligos</v>
      </c>
      <c r="C44" s="129" t="str">
        <f>Data!C41</f>
        <v>C90</v>
      </c>
      <c r="D44" s="130">
        <f>Data!D41+Data!BQ41</f>
        <v>166</v>
      </c>
      <c r="E44" s="131">
        <f t="shared" si="8"/>
        <v>5.7144627544398965</v>
      </c>
      <c r="F44" s="132">
        <f t="shared" si="9"/>
        <v>3.6359100770456569</v>
      </c>
      <c r="G44" s="133">
        <f t="shared" si="10"/>
        <v>2.4115893531062671</v>
      </c>
      <c r="H44" s="281"/>
      <c r="I44" s="281"/>
      <c r="J44" s="281"/>
      <c r="K44" s="281"/>
      <c r="L44" s="281"/>
      <c r="M44" s="281"/>
      <c r="N44" s="281"/>
      <c r="O44" s="277"/>
      <c r="P44" s="360"/>
      <c r="Q44" s="424" t="s">
        <v>353</v>
      </c>
      <c r="R44" s="416">
        <f t="shared" si="3"/>
        <v>363591.00770456571</v>
      </c>
      <c r="S44" s="416">
        <f>(Data!Q41+Data!CD41)/S$6*100000*S$3</f>
        <v>0</v>
      </c>
      <c r="T44" s="416">
        <f>(Data!R41+Data!CE41)/T$6*100000*T$3</f>
        <v>0</v>
      </c>
      <c r="U44" s="416">
        <f>(Data!S41+Data!CF41)/U$6*100000*U$3</f>
        <v>0</v>
      </c>
      <c r="V44" s="416">
        <f>(Data!T41+Data!CG41)/V$6*100000*V$3</f>
        <v>0</v>
      </c>
      <c r="W44" s="416">
        <f>(Data!U41+Data!CH41)/W$6*100000*W$3</f>
        <v>0</v>
      </c>
      <c r="X44" s="416">
        <f>(Data!V41+Data!CI41)/X$6*100000*X$3</f>
        <v>0</v>
      </c>
      <c r="Y44" s="416">
        <f>(Data!W41+Data!CJ41)/Y$6*100000*Y$3</f>
        <v>0</v>
      </c>
      <c r="Z44" s="416">
        <f>(Data!X41+Data!CK41)/Z$6*100000*Z$3</f>
        <v>3969.3340591544188</v>
      </c>
      <c r="AA44" s="416">
        <f>(Data!Y41+Data!CL41)/AA$6*100000*AA$3</f>
        <v>14160.58098840855</v>
      </c>
      <c r="AB44" s="416">
        <f>(Data!Z41+Data!CM41)/AB$6*100000*AB$3</f>
        <v>3368.2994899432201</v>
      </c>
      <c r="AC44" s="416">
        <f>(Data!AA41+Data!CN41)/AC$6*100000*AC$3</f>
        <v>24867.668478453943</v>
      </c>
      <c r="AD44" s="416">
        <f>(Data!AB41+Data!CO41)/AD$6*100000*AD$3</f>
        <v>47833.651442747338</v>
      </c>
      <c r="AE44" s="416">
        <f>(Data!AC41+Data!CP41)/AE$6*100000*AE$3</f>
        <v>46882.600109002051</v>
      </c>
      <c r="AF44" s="416">
        <f>(Data!AD41+Data!CQ41)/AF$6*100000*AF$3</f>
        <v>44059.232130195036</v>
      </c>
      <c r="AG44" s="416">
        <f>(Data!AE41+Data!CR41)/AG$6*100000*AG$3</f>
        <v>79829.089720294083</v>
      </c>
      <c r="AH44" s="416">
        <f>(Data!AF41+Data!CS41)/AH$6*100000*AH$3</f>
        <v>49776.42090941521</v>
      </c>
      <c r="AI44" s="416">
        <f>(Data!AG41+Data!CT41)/AI$6*100000*AI$3</f>
        <v>30256.481869385094</v>
      </c>
      <c r="AJ44" s="416">
        <f>(Data!AH41+Data!CU41)/AJ$6*100000*AJ$3</f>
        <v>18587.648507566722</v>
      </c>
      <c r="AK44" s="424" t="s">
        <v>353</v>
      </c>
      <c r="AL44" s="416">
        <f t="shared" si="4"/>
        <v>241158.93531062669</v>
      </c>
      <c r="AM44" s="416">
        <f>(Data!Q41+Data!CD41)/AM$6*100000*AM$3</f>
        <v>0</v>
      </c>
      <c r="AN44" s="416">
        <f>(Data!R41+Data!CE41)/AN$6*100000*AN$3</f>
        <v>0</v>
      </c>
      <c r="AO44" s="416">
        <f>(Data!S41+Data!CF41)/AO$6*100000*AO$3</f>
        <v>0</v>
      </c>
      <c r="AP44" s="416">
        <f>(Data!T41+Data!CG41)/AP$6*100000*AP$3</f>
        <v>0</v>
      </c>
      <c r="AQ44" s="416">
        <f>(Data!U41+Data!CH41)/AQ$6*100000*AQ$3</f>
        <v>0</v>
      </c>
      <c r="AR44" s="416">
        <f>(Data!V41+Data!CI41)/AR$6*100000*AR$3</f>
        <v>0</v>
      </c>
      <c r="AS44" s="416">
        <f>(Data!W41+Data!CJ41)/AS$6*100000*AS$3</f>
        <v>0</v>
      </c>
      <c r="AT44" s="416">
        <f>(Data!X41+Data!CK41)/AT$6*100000*AT$3</f>
        <v>3402.286336418073</v>
      </c>
      <c r="AU44" s="416">
        <f>(Data!Y41+Data!CL41)/AU$6*100000*AU$3</f>
        <v>12137.640847207329</v>
      </c>
      <c r="AV44" s="416">
        <f>(Data!Z41+Data!CM41)/AV$6*100000*AV$3</f>
        <v>2887.1138485227598</v>
      </c>
      <c r="AW44" s="416">
        <f>(Data!AA41+Data!CN41)/AW$6*100000*AW$3</f>
        <v>17762.620341752816</v>
      </c>
      <c r="AX44" s="416">
        <f>(Data!AB41+Data!CO41)/AX$6*100000*AX$3</f>
        <v>31889.100961831558</v>
      </c>
      <c r="AY44" s="416">
        <f>(Data!AC41+Data!CP41)/AY$6*100000*AY$3</f>
        <v>37506.080087201641</v>
      </c>
      <c r="AZ44" s="416">
        <f>(Data!AD41+Data!CQ41)/AZ$6*100000*AZ$3</f>
        <v>33044.424097646275</v>
      </c>
      <c r="BA44" s="416">
        <f>(Data!AE41+Data!CR41)/BA$6*100000*BA$3</f>
        <v>53219.39314686272</v>
      </c>
      <c r="BB44" s="416">
        <f>(Data!AF41+Data!CS41)/BB$6*100000*BB$3</f>
        <v>24888.210454707605</v>
      </c>
      <c r="BC44" s="416">
        <f>(Data!AG41+Data!CT41)/BC$6*100000*BC$3</f>
        <v>15128.240934692547</v>
      </c>
      <c r="BD44" s="416">
        <f>(Data!AH41+Data!CU41)/BD$6*100000*BD$3</f>
        <v>9293.8242537833612</v>
      </c>
      <c r="BE44" s="411"/>
      <c r="BF44" s="411"/>
      <c r="BG44" s="411"/>
      <c r="BH44" s="411"/>
      <c r="BI44" s="411"/>
      <c r="BJ44" s="411"/>
      <c r="BK44" s="411"/>
      <c r="BL44" s="411"/>
      <c r="BM44" s="411"/>
      <c r="BN44" s="411"/>
      <c r="BO44" s="411"/>
      <c r="BP44" s="411"/>
      <c r="BQ44" s="411"/>
      <c r="BR44" s="411"/>
      <c r="BS44" s="411"/>
      <c r="BT44" s="411"/>
      <c r="BU44" s="411"/>
      <c r="BV44" s="411"/>
      <c r="BW44" s="411"/>
      <c r="BX44" s="411"/>
      <c r="BY44" s="411"/>
      <c r="BZ44" s="411"/>
      <c r="CA44" s="411"/>
      <c r="CB44" s="411"/>
      <c r="CC44" s="411"/>
      <c r="CD44" s="411"/>
      <c r="CE44" s="411"/>
      <c r="CF44" s="411"/>
      <c r="CG44" s="411"/>
      <c r="CH44" s="411"/>
      <c r="CI44" s="411"/>
      <c r="CJ44" s="411"/>
      <c r="CK44" s="411"/>
      <c r="CL44" s="411"/>
      <c r="CM44" s="411"/>
      <c r="CN44" s="411"/>
      <c r="CO44" s="411"/>
      <c r="CP44" s="411"/>
      <c r="CQ44" s="411"/>
      <c r="CR44" s="411"/>
      <c r="CS44" s="411"/>
      <c r="CT44" s="411"/>
      <c r="CU44" s="411"/>
      <c r="CV44" s="411"/>
      <c r="CW44" s="411"/>
      <c r="CX44" s="411"/>
      <c r="CY44" s="411"/>
      <c r="CZ44" s="411"/>
      <c r="DA44" s="411"/>
      <c r="DB44" s="411"/>
      <c r="DC44" s="411"/>
      <c r="DD44" s="411"/>
      <c r="DE44" s="411"/>
      <c r="DF44" s="411"/>
      <c r="DG44" s="411"/>
      <c r="DH44" s="411"/>
      <c r="DI44" s="411"/>
      <c r="DJ44" s="411"/>
      <c r="DK44" s="411"/>
      <c r="DL44" s="411"/>
      <c r="DM44" s="411"/>
      <c r="DN44" s="411"/>
      <c r="DO44" s="411"/>
      <c r="DP44" s="411"/>
      <c r="DQ44" s="411"/>
      <c r="DR44" s="411"/>
      <c r="DS44" s="411"/>
      <c r="DT44" s="411"/>
      <c r="DU44" s="411"/>
      <c r="DV44" s="411"/>
      <c r="DW44" s="411"/>
      <c r="DX44" s="411"/>
      <c r="DY44" s="411"/>
      <c r="DZ44" s="411"/>
      <c r="EA44" s="411"/>
      <c r="EB44" s="411"/>
      <c r="EC44" s="411"/>
      <c r="ED44" s="411"/>
      <c r="EE44" s="411"/>
      <c r="EF44" s="411"/>
      <c r="EG44" s="411"/>
    </row>
    <row r="45" spans="1:137" s="352" customFormat="1" ht="12" customHeight="1">
      <c r="A45" s="276"/>
      <c r="B45" s="283" t="str">
        <f>UPPER(LEFT(TRIM(Data!B42),1)) &amp; MID(TRIM(Data!B42),2,50)</f>
        <v>Leukemijos</v>
      </c>
      <c r="C45" s="283" t="str">
        <f>Data!C42</f>
        <v>C91-C95</v>
      </c>
      <c r="D45" s="284">
        <f>Data!D42+Data!BQ42</f>
        <v>446</v>
      </c>
      <c r="E45" s="285">
        <f t="shared" si="8"/>
        <v>15.35331559325418</v>
      </c>
      <c r="F45" s="286">
        <f t="shared" si="9"/>
        <v>11.194334844294515</v>
      </c>
      <c r="G45" s="286">
        <f t="shared" si="10"/>
        <v>8.7495969721891296</v>
      </c>
      <c r="H45" s="281"/>
      <c r="I45" s="281"/>
      <c r="J45" s="281"/>
      <c r="K45" s="281"/>
      <c r="L45" s="281"/>
      <c r="M45" s="281"/>
      <c r="N45" s="281"/>
      <c r="O45" s="277"/>
      <c r="P45" s="360"/>
      <c r="Q45" s="424" t="s">
        <v>353</v>
      </c>
      <c r="R45" s="416">
        <f t="shared" si="3"/>
        <v>1119433.4844294514</v>
      </c>
      <c r="S45" s="416">
        <f>(Data!Q42+Data!CD42)/S$6*100000*S$3</f>
        <v>58284.321517511795</v>
      </c>
      <c r="T45" s="416">
        <f>(Data!R42+Data!CE42)/T$6*100000*T$3</f>
        <v>25111.026610513629</v>
      </c>
      <c r="U45" s="416">
        <f>(Data!S42+Data!CF42)/U$6*100000*U$3</f>
        <v>20858.164481525626</v>
      </c>
      <c r="V45" s="416">
        <f>(Data!T42+Data!CG42)/V$6*100000*V$3</f>
        <v>8420.0396944728454</v>
      </c>
      <c r="W45" s="416">
        <f>(Data!U42+Data!CH42)/W$6*100000*W$3</f>
        <v>6947.3736446418388</v>
      </c>
      <c r="X45" s="416">
        <f>(Data!V42+Data!CI42)/X$6*100000*X$3</f>
        <v>42941.492216854538</v>
      </c>
      <c r="Y45" s="416">
        <f>(Data!W42+Data!CJ42)/Y$6*100000*Y$3</f>
        <v>19650.667280516082</v>
      </c>
      <c r="Z45" s="416">
        <f>(Data!X42+Data!CK42)/Z$6*100000*Z$3</f>
        <v>11908.002177463255</v>
      </c>
      <c r="AA45" s="416">
        <f>(Data!Y42+Data!CL42)/AA$6*100000*AA$3</f>
        <v>46021.888212327794</v>
      </c>
      <c r="AB45" s="416">
        <f>(Data!Z42+Data!CM42)/AB$6*100000*AB$3</f>
        <v>33682.994899432204</v>
      </c>
      <c r="AC45" s="416">
        <f>(Data!AA42+Data!CN42)/AC$6*100000*AC$3</f>
        <v>90145.298234395537</v>
      </c>
      <c r="AD45" s="416">
        <f>(Data!AB42+Data!CO42)/AD$6*100000*AD$3</f>
        <v>120991.00070812562</v>
      </c>
      <c r="AE45" s="416">
        <f>(Data!AC42+Data!CP42)/AE$6*100000*AE$3</f>
        <v>111346.17525887986</v>
      </c>
      <c r="AF45" s="416">
        <f>(Data!AD42+Data!CQ42)/AF$6*100000*AF$3</f>
        <v>167975.82249636855</v>
      </c>
      <c r="AG45" s="416">
        <f>(Data!AE42+Data!CR42)/AG$6*100000*AG$3</f>
        <v>143692.36149652934</v>
      </c>
      <c r="AH45" s="416">
        <f>(Data!AF42+Data!CS42)/AH$6*100000*AH$3</f>
        <v>97893.627788516562</v>
      </c>
      <c r="AI45" s="416">
        <f>(Data!AG42+Data!CT42)/AI$6*100000*AI$3</f>
        <v>59349.252897639992</v>
      </c>
      <c r="AJ45" s="416">
        <f>(Data!AH42+Data!CU42)/AJ$6*100000*AJ$3</f>
        <v>54213.974813736269</v>
      </c>
      <c r="AK45" s="424" t="s">
        <v>353</v>
      </c>
      <c r="AL45" s="416">
        <f t="shared" si="4"/>
        <v>874959.697218913</v>
      </c>
      <c r="AM45" s="416">
        <f>(Data!Q42+Data!CD42)/AM$6*100000*AM$3</f>
        <v>87426.482276267692</v>
      </c>
      <c r="AN45" s="416">
        <f>(Data!R42+Data!CE42)/AN$6*100000*AN$3</f>
        <v>35872.895157876614</v>
      </c>
      <c r="AO45" s="416">
        <f>(Data!S42+Data!CF42)/AO$6*100000*AO$3</f>
        <v>26817.640047675803</v>
      </c>
      <c r="AP45" s="416">
        <f>(Data!T42+Data!CG42)/AP$6*100000*AP$3</f>
        <v>10825.765321465087</v>
      </c>
      <c r="AQ45" s="416">
        <f>(Data!U42+Data!CH42)/AQ$6*100000*AQ$3</f>
        <v>7939.8555938763866</v>
      </c>
      <c r="AR45" s="416">
        <f>(Data!V42+Data!CI42)/AR$6*100000*AR$3</f>
        <v>49075.991104976616</v>
      </c>
      <c r="AS45" s="416">
        <f>(Data!W42+Data!CJ42)/AS$6*100000*AS$3</f>
        <v>16843.429097585213</v>
      </c>
      <c r="AT45" s="416">
        <f>(Data!X42+Data!CK42)/AT$6*100000*AT$3</f>
        <v>10206.85900925422</v>
      </c>
      <c r="AU45" s="416">
        <f>(Data!Y42+Data!CL42)/AU$6*100000*AU$3</f>
        <v>39447.332753423827</v>
      </c>
      <c r="AV45" s="416">
        <f>(Data!Z42+Data!CM42)/AV$6*100000*AV$3</f>
        <v>28871.138485227599</v>
      </c>
      <c r="AW45" s="416">
        <f>(Data!AA42+Data!CN42)/AW$6*100000*AW$3</f>
        <v>64389.498738853952</v>
      </c>
      <c r="AX45" s="416">
        <f>(Data!AB42+Data!CO42)/AX$6*100000*AX$3</f>
        <v>80660.667138750418</v>
      </c>
      <c r="AY45" s="416">
        <f>(Data!AC42+Data!CP42)/AY$6*100000*AY$3</f>
        <v>89076.940207103893</v>
      </c>
      <c r="AZ45" s="416">
        <f>(Data!AD42+Data!CQ42)/AZ$6*100000*AZ$3</f>
        <v>125981.86687227641</v>
      </c>
      <c r="BA45" s="416">
        <f>(Data!AE42+Data!CR42)/BA$6*100000*BA$3</f>
        <v>95794.907664352897</v>
      </c>
      <c r="BB45" s="416">
        <f>(Data!AF42+Data!CS42)/BB$6*100000*BB$3</f>
        <v>48946.813894258281</v>
      </c>
      <c r="BC45" s="416">
        <f>(Data!AG42+Data!CT42)/BC$6*100000*BC$3</f>
        <v>29674.626448819996</v>
      </c>
      <c r="BD45" s="416">
        <f>(Data!AH42+Data!CU42)/BD$6*100000*BD$3</f>
        <v>27106.987406868135</v>
      </c>
      <c r="BE45" s="411"/>
      <c r="BF45" s="411"/>
      <c r="BG45" s="411"/>
      <c r="BH45" s="411"/>
      <c r="BI45" s="411"/>
      <c r="BJ45" s="411"/>
      <c r="BK45" s="411"/>
      <c r="BL45" s="411"/>
      <c r="BM45" s="411"/>
      <c r="BN45" s="411"/>
      <c r="BO45" s="411"/>
      <c r="BP45" s="411"/>
      <c r="BQ45" s="411"/>
      <c r="BR45" s="411"/>
      <c r="BS45" s="411"/>
      <c r="BT45" s="411"/>
      <c r="BU45" s="411"/>
      <c r="BV45" s="411"/>
      <c r="BW45" s="411"/>
      <c r="BX45" s="411"/>
      <c r="BY45" s="411"/>
      <c r="BZ45" s="411"/>
      <c r="CA45" s="411"/>
      <c r="CB45" s="411"/>
      <c r="CC45" s="411"/>
      <c r="CD45" s="411"/>
      <c r="CE45" s="411"/>
      <c r="CF45" s="411"/>
      <c r="CG45" s="411"/>
      <c r="CH45" s="411"/>
      <c r="CI45" s="411"/>
      <c r="CJ45" s="411"/>
      <c r="CK45" s="411"/>
      <c r="CL45" s="411"/>
      <c r="CM45" s="411"/>
      <c r="CN45" s="411"/>
      <c r="CO45" s="411"/>
      <c r="CP45" s="411"/>
      <c r="CQ45" s="411"/>
      <c r="CR45" s="411"/>
      <c r="CS45" s="411"/>
      <c r="CT45" s="411"/>
      <c r="CU45" s="411"/>
      <c r="CV45" s="411"/>
      <c r="CW45" s="411"/>
      <c r="CX45" s="411"/>
      <c r="CY45" s="411"/>
      <c r="CZ45" s="411"/>
      <c r="DA45" s="411"/>
      <c r="DB45" s="411"/>
      <c r="DC45" s="411"/>
      <c r="DD45" s="411"/>
      <c r="DE45" s="411"/>
      <c r="DF45" s="411"/>
      <c r="DG45" s="411"/>
      <c r="DH45" s="411"/>
      <c r="DI45" s="411"/>
      <c r="DJ45" s="411"/>
      <c r="DK45" s="411"/>
      <c r="DL45" s="411"/>
      <c r="DM45" s="411"/>
      <c r="DN45" s="411"/>
      <c r="DO45" s="411"/>
      <c r="DP45" s="411"/>
      <c r="DQ45" s="411"/>
      <c r="DR45" s="411"/>
      <c r="DS45" s="411"/>
      <c r="DT45" s="411"/>
      <c r="DU45" s="411"/>
      <c r="DV45" s="411"/>
      <c r="DW45" s="411"/>
      <c r="DX45" s="411"/>
      <c r="DY45" s="411"/>
      <c r="DZ45" s="411"/>
      <c r="EA45" s="411"/>
      <c r="EB45" s="411"/>
      <c r="EC45" s="411"/>
      <c r="ED45" s="411"/>
      <c r="EE45" s="411"/>
      <c r="EF45" s="411"/>
      <c r="EG45" s="411"/>
    </row>
    <row r="46" spans="1:137" s="352" customFormat="1" ht="12" customHeight="1">
      <c r="A46" s="276"/>
      <c r="B46" s="129" t="str">
        <f>UPPER(LEFT(TRIM(Data!B43),1)) &amp; MID(TRIM(Data!B43),2,50)</f>
        <v>Kiti limfinio, kraujodaros audinių</v>
      </c>
      <c r="C46" s="129" t="str">
        <f>Data!C43</f>
        <v>C88, C96</v>
      </c>
      <c r="D46" s="130">
        <f>Data!D43+Data!BQ43</f>
        <v>11</v>
      </c>
      <c r="E46" s="131">
        <f t="shared" si="8"/>
        <v>0.37866921866770398</v>
      </c>
      <c r="F46" s="132">
        <f t="shared" si="9"/>
        <v>0.28619730350268707</v>
      </c>
      <c r="G46" s="133">
        <f t="shared" si="10"/>
        <v>0.22038610826064495</v>
      </c>
      <c r="H46" s="281"/>
      <c r="I46" s="281"/>
      <c r="J46" s="281"/>
      <c r="K46" s="281"/>
      <c r="L46" s="281"/>
      <c r="M46" s="281"/>
      <c r="N46" s="281"/>
      <c r="O46" s="277"/>
      <c r="P46" s="360"/>
      <c r="Q46" s="424" t="s">
        <v>353</v>
      </c>
      <c r="R46" s="416">
        <f t="shared" si="3"/>
        <v>28619.730350268706</v>
      </c>
      <c r="S46" s="416">
        <f>(Data!Q43+Data!CD43)/S$6*100000*S$3</f>
        <v>0</v>
      </c>
      <c r="T46" s="416">
        <f>(Data!R43+Data!CE43)/T$6*100000*T$3</f>
        <v>0</v>
      </c>
      <c r="U46" s="416">
        <f>(Data!S43+Data!CF43)/U$6*100000*U$3</f>
        <v>0</v>
      </c>
      <c r="V46" s="416">
        <f>(Data!T43+Data!CG43)/V$6*100000*V$3</f>
        <v>0</v>
      </c>
      <c r="W46" s="416">
        <f>(Data!U43+Data!CH43)/W$6*100000*W$3</f>
        <v>3473.6868223209194</v>
      </c>
      <c r="X46" s="416">
        <f>(Data!V43+Data!CI43)/X$6*100000*X$3</f>
        <v>0</v>
      </c>
      <c r="Y46" s="416">
        <f>(Data!W43+Data!CJ43)/Y$6*100000*Y$3</f>
        <v>0</v>
      </c>
      <c r="Z46" s="416">
        <f>(Data!X43+Data!CK43)/Z$6*100000*Z$3</f>
        <v>3969.3340591544188</v>
      </c>
      <c r="AA46" s="416">
        <f>(Data!Y43+Data!CL43)/AA$6*100000*AA$3</f>
        <v>0</v>
      </c>
      <c r="AB46" s="416">
        <f>(Data!Z43+Data!CM43)/AB$6*100000*AB$3</f>
        <v>3368.2994899432201</v>
      </c>
      <c r="AC46" s="416">
        <f>(Data!AA43+Data!CN43)/AC$6*100000*AC$3</f>
        <v>3108.4585598067429</v>
      </c>
      <c r="AD46" s="416">
        <f>(Data!AB43+Data!CO43)/AD$6*100000*AD$3</f>
        <v>0</v>
      </c>
      <c r="AE46" s="416">
        <f>(Data!AC43+Data!CP43)/AE$6*100000*AE$3</f>
        <v>0</v>
      </c>
      <c r="AF46" s="416">
        <f>(Data!AD43+Data!CQ43)/AF$6*100000*AF$3</f>
        <v>2753.7020081371898</v>
      </c>
      <c r="AG46" s="416">
        <f>(Data!AE43+Data!CR43)/AG$6*100000*AG$3</f>
        <v>9123.3245394621808</v>
      </c>
      <c r="AH46" s="416">
        <f>(Data!AF43+Data!CS43)/AH$6*100000*AH$3</f>
        <v>1659.2140303138403</v>
      </c>
      <c r="AI46" s="416">
        <f>(Data!AG43+Data!CT43)/AI$6*100000*AI$3</f>
        <v>1163.7108411301961</v>
      </c>
      <c r="AJ46" s="416">
        <f>(Data!AH43+Data!CU43)/AJ$6*100000*AJ$3</f>
        <v>0</v>
      </c>
      <c r="AK46" s="424" t="s">
        <v>353</v>
      </c>
      <c r="AL46" s="416">
        <f t="shared" si="4"/>
        <v>22038.610826064494</v>
      </c>
      <c r="AM46" s="416">
        <f>(Data!Q43+Data!CD43)/AM$6*100000*AM$3</f>
        <v>0</v>
      </c>
      <c r="AN46" s="416">
        <f>(Data!R43+Data!CE43)/AN$6*100000*AN$3</f>
        <v>0</v>
      </c>
      <c r="AO46" s="416">
        <f>(Data!S43+Data!CF43)/AO$6*100000*AO$3</f>
        <v>0</v>
      </c>
      <c r="AP46" s="416">
        <f>(Data!T43+Data!CG43)/AP$6*100000*AP$3</f>
        <v>0</v>
      </c>
      <c r="AQ46" s="416">
        <f>(Data!U43+Data!CH43)/AQ$6*100000*AQ$3</f>
        <v>3969.9277969381933</v>
      </c>
      <c r="AR46" s="416">
        <f>(Data!V43+Data!CI43)/AR$6*100000*AR$3</f>
        <v>0</v>
      </c>
      <c r="AS46" s="416">
        <f>(Data!W43+Data!CJ43)/AS$6*100000*AS$3</f>
        <v>0</v>
      </c>
      <c r="AT46" s="416">
        <f>(Data!X43+Data!CK43)/AT$6*100000*AT$3</f>
        <v>3402.286336418073</v>
      </c>
      <c r="AU46" s="416">
        <f>(Data!Y43+Data!CL43)/AU$6*100000*AU$3</f>
        <v>0</v>
      </c>
      <c r="AV46" s="416">
        <f>(Data!Z43+Data!CM43)/AV$6*100000*AV$3</f>
        <v>2887.1138485227598</v>
      </c>
      <c r="AW46" s="416">
        <f>(Data!AA43+Data!CN43)/AW$6*100000*AW$3</f>
        <v>2220.327542719102</v>
      </c>
      <c r="AX46" s="416">
        <f>(Data!AB43+Data!CO43)/AX$6*100000*AX$3</f>
        <v>0</v>
      </c>
      <c r="AY46" s="416">
        <f>(Data!AC43+Data!CP43)/AY$6*100000*AY$3</f>
        <v>0</v>
      </c>
      <c r="AZ46" s="416">
        <f>(Data!AD43+Data!CQ43)/AZ$6*100000*AZ$3</f>
        <v>2065.2765061028922</v>
      </c>
      <c r="BA46" s="416">
        <f>(Data!AE43+Data!CR43)/BA$6*100000*BA$3</f>
        <v>6082.216359641453</v>
      </c>
      <c r="BB46" s="416">
        <f>(Data!AF43+Data!CS43)/BB$6*100000*BB$3</f>
        <v>829.60701515692017</v>
      </c>
      <c r="BC46" s="416">
        <f>(Data!AG43+Data!CT43)/BC$6*100000*BC$3</f>
        <v>581.85542056509803</v>
      </c>
      <c r="BD46" s="416">
        <f>(Data!AH43+Data!CU43)/BD$6*100000*BD$3</f>
        <v>0</v>
      </c>
      <c r="BE46" s="411"/>
      <c r="BF46" s="411"/>
      <c r="BG46" s="411"/>
      <c r="BH46" s="411"/>
      <c r="BI46" s="411"/>
      <c r="BJ46" s="411"/>
      <c r="BK46" s="411"/>
      <c r="BL46" s="411"/>
      <c r="BM46" s="411"/>
      <c r="BN46" s="411"/>
      <c r="BO46" s="411"/>
      <c r="BP46" s="411"/>
      <c r="BQ46" s="411"/>
      <c r="BR46" s="411"/>
      <c r="BS46" s="411"/>
      <c r="BT46" s="411"/>
      <c r="BU46" s="411"/>
      <c r="BV46" s="411"/>
      <c r="BW46" s="411"/>
      <c r="BX46" s="411"/>
      <c r="BY46" s="411"/>
      <c r="BZ46" s="411"/>
      <c r="CA46" s="411"/>
      <c r="CB46" s="411"/>
      <c r="CC46" s="411"/>
      <c r="CD46" s="411"/>
      <c r="CE46" s="411"/>
      <c r="CF46" s="411"/>
      <c r="CG46" s="411"/>
      <c r="CH46" s="411"/>
      <c r="CI46" s="411"/>
      <c r="CJ46" s="411"/>
      <c r="CK46" s="411"/>
      <c r="CL46" s="411"/>
      <c r="CM46" s="411"/>
      <c r="CN46" s="411"/>
      <c r="CO46" s="411"/>
      <c r="CP46" s="411"/>
      <c r="CQ46" s="411"/>
      <c r="CR46" s="411"/>
      <c r="CS46" s="411"/>
      <c r="CT46" s="411"/>
      <c r="CU46" s="411"/>
      <c r="CV46" s="411"/>
      <c r="CW46" s="411"/>
      <c r="CX46" s="411"/>
      <c r="CY46" s="411"/>
      <c r="CZ46" s="411"/>
      <c r="DA46" s="411"/>
      <c r="DB46" s="411"/>
      <c r="DC46" s="411"/>
      <c r="DD46" s="411"/>
      <c r="DE46" s="411"/>
      <c r="DF46" s="411"/>
      <c r="DG46" s="411"/>
      <c r="DH46" s="411"/>
      <c r="DI46" s="411"/>
      <c r="DJ46" s="411"/>
      <c r="DK46" s="411"/>
      <c r="DL46" s="411"/>
      <c r="DM46" s="411"/>
      <c r="DN46" s="411"/>
      <c r="DO46" s="411"/>
      <c r="DP46" s="411"/>
      <c r="DQ46" s="411"/>
      <c r="DR46" s="411"/>
      <c r="DS46" s="411"/>
      <c r="DT46" s="411"/>
      <c r="DU46" s="411"/>
      <c r="DV46" s="411"/>
      <c r="DW46" s="411"/>
      <c r="DX46" s="411"/>
      <c r="DY46" s="411"/>
      <c r="DZ46" s="411"/>
      <c r="EA46" s="411"/>
      <c r="EB46" s="411"/>
      <c r="EC46" s="411"/>
      <c r="ED46" s="411"/>
      <c r="EE46" s="411"/>
      <c r="EF46" s="411"/>
      <c r="EG46" s="411"/>
    </row>
    <row r="47" spans="1:137" s="352" customFormat="1" ht="24" customHeight="1">
      <c r="A47" s="276"/>
      <c r="B47" s="289"/>
      <c r="C47" s="289"/>
      <c r="D47" s="290"/>
      <c r="E47" s="291"/>
      <c r="F47" s="292"/>
      <c r="G47" s="292"/>
      <c r="H47" s="281"/>
      <c r="I47" s="281"/>
      <c r="J47" s="281"/>
      <c r="K47" s="281"/>
      <c r="L47" s="281"/>
      <c r="M47" s="281"/>
      <c r="N47" s="281"/>
      <c r="O47" s="277"/>
      <c r="P47" s="360"/>
      <c r="Q47" s="424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6"/>
      <c r="AI47" s="416"/>
      <c r="AJ47" s="416"/>
      <c r="AK47" s="424"/>
      <c r="AL47" s="416"/>
      <c r="AM47" s="416"/>
      <c r="AN47" s="416"/>
      <c r="AO47" s="416"/>
      <c r="AP47" s="416"/>
      <c r="AQ47" s="416"/>
      <c r="AR47" s="416"/>
      <c r="AS47" s="416"/>
      <c r="AT47" s="416"/>
      <c r="AU47" s="416"/>
      <c r="AV47" s="416"/>
      <c r="AW47" s="416"/>
      <c r="AX47" s="416"/>
      <c r="AY47" s="416"/>
      <c r="AZ47" s="416"/>
      <c r="BA47" s="416"/>
      <c r="BB47" s="416"/>
      <c r="BC47" s="416"/>
      <c r="BD47" s="416"/>
      <c r="BE47" s="411"/>
      <c r="BF47" s="411"/>
      <c r="BG47" s="411"/>
      <c r="BH47" s="411"/>
      <c r="BI47" s="411"/>
      <c r="BJ47" s="411"/>
      <c r="BK47" s="411"/>
      <c r="BL47" s="411"/>
      <c r="BM47" s="411"/>
      <c r="BN47" s="411"/>
      <c r="BO47" s="411"/>
      <c r="BP47" s="411"/>
      <c r="BQ47" s="411"/>
      <c r="BR47" s="411"/>
      <c r="BS47" s="411"/>
      <c r="BT47" s="411"/>
      <c r="BU47" s="411"/>
      <c r="BV47" s="411"/>
      <c r="BW47" s="411"/>
      <c r="BX47" s="411"/>
      <c r="BY47" s="411"/>
      <c r="BZ47" s="411"/>
      <c r="CA47" s="411"/>
      <c r="CB47" s="411"/>
      <c r="CC47" s="411"/>
      <c r="CD47" s="411"/>
      <c r="CE47" s="411"/>
      <c r="CF47" s="411"/>
      <c r="CG47" s="411"/>
      <c r="CH47" s="411"/>
      <c r="CI47" s="411"/>
      <c r="CJ47" s="411"/>
      <c r="CK47" s="411"/>
      <c r="CL47" s="411"/>
      <c r="CM47" s="411"/>
      <c r="CN47" s="411"/>
      <c r="CO47" s="411"/>
      <c r="CP47" s="411"/>
      <c r="CQ47" s="411"/>
      <c r="CR47" s="411"/>
      <c r="CS47" s="411"/>
      <c r="CT47" s="411"/>
      <c r="CU47" s="411"/>
      <c r="CV47" s="411"/>
      <c r="CW47" s="411"/>
      <c r="CX47" s="411"/>
      <c r="CY47" s="411"/>
      <c r="CZ47" s="411"/>
      <c r="DA47" s="411"/>
      <c r="DB47" s="411"/>
      <c r="DC47" s="411"/>
      <c r="DD47" s="411"/>
      <c r="DE47" s="411"/>
      <c r="DF47" s="411"/>
      <c r="DG47" s="411"/>
      <c r="DH47" s="411"/>
      <c r="DI47" s="411"/>
      <c r="DJ47" s="411"/>
      <c r="DK47" s="411"/>
      <c r="DL47" s="411"/>
      <c r="DM47" s="411"/>
      <c r="DN47" s="411"/>
      <c r="DO47" s="411"/>
      <c r="DP47" s="411"/>
      <c r="DQ47" s="411"/>
      <c r="DR47" s="411"/>
      <c r="DS47" s="411"/>
      <c r="DT47" s="411"/>
      <c r="DU47" s="411"/>
      <c r="DV47" s="411"/>
      <c r="DW47" s="411"/>
      <c r="DX47" s="411"/>
      <c r="DY47" s="411"/>
      <c r="DZ47" s="411"/>
      <c r="EA47" s="411"/>
      <c r="EB47" s="411"/>
      <c r="EC47" s="411"/>
      <c r="ED47" s="411"/>
      <c r="EE47" s="411"/>
      <c r="EF47" s="411"/>
      <c r="EG47" s="411"/>
    </row>
    <row r="48" spans="1:137" s="352" customFormat="1" ht="12" customHeight="1">
      <c r="A48" s="276"/>
      <c r="B48" s="129" t="str">
        <f>UPPER(LEFT(TRIM(Data!B44),1)) &amp; MID(TRIM(Data!B44),2,50)</f>
        <v>Melanoma in situ</v>
      </c>
      <c r="C48" s="129" t="str">
        <f>UPPER(LEFT(TRIM(Data!C44),1)) &amp; MID(TRIM(Data!C44),2,50)</f>
        <v>D03</v>
      </c>
      <c r="D48" s="130">
        <f>Data!D44+Data!BQ44</f>
        <v>49</v>
      </c>
      <c r="E48" s="131">
        <f t="shared" si="5"/>
        <v>1.6867992467924995</v>
      </c>
      <c r="F48" s="132">
        <f t="shared" si="6"/>
        <v>1.3017954572617256</v>
      </c>
      <c r="G48" s="133">
        <f t="shared" si="7"/>
        <v>0.95489895779646528</v>
      </c>
      <c r="H48" s="281"/>
      <c r="I48" s="281"/>
      <c r="J48" s="281"/>
      <c r="K48" s="281"/>
      <c r="L48" s="281"/>
      <c r="M48" s="281"/>
      <c r="N48" s="281"/>
      <c r="O48" s="277"/>
      <c r="P48" s="360"/>
      <c r="Q48" s="424" t="s">
        <v>353</v>
      </c>
      <c r="R48" s="416">
        <f t="shared" ref="R48" si="11">SUM(S48:AJ48)</f>
        <v>130179.54572617257</v>
      </c>
      <c r="S48" s="416">
        <f>(Data!Q44+Data!CD44)/S$6*100000*S$3</f>
        <v>0</v>
      </c>
      <c r="T48" s="416">
        <f>(Data!R44+Data!CE44)/T$6*100000*T$3</f>
        <v>0</v>
      </c>
      <c r="U48" s="416">
        <f>(Data!S44+Data!CF44)/U$6*100000*U$3</f>
        <v>0</v>
      </c>
      <c r="V48" s="416">
        <f>(Data!T44+Data!CG44)/V$6*100000*V$3</f>
        <v>0</v>
      </c>
      <c r="W48" s="416">
        <f>(Data!U44+Data!CH44)/W$6*100000*W$3</f>
        <v>0</v>
      </c>
      <c r="X48" s="416">
        <f>(Data!V44+Data!CI44)/X$6*100000*X$3</f>
        <v>0</v>
      </c>
      <c r="Y48" s="416">
        <f>(Data!W44+Data!CJ44)/Y$6*100000*Y$3</f>
        <v>7860.2669122064335</v>
      </c>
      <c r="Z48" s="416">
        <f>(Data!X44+Data!CK44)/Z$6*100000*Z$3</f>
        <v>7938.6681183088376</v>
      </c>
      <c r="AA48" s="416">
        <f>(Data!Y44+Data!CL44)/AA$6*100000*AA$3</f>
        <v>10620.435741306415</v>
      </c>
      <c r="AB48" s="416">
        <f>(Data!Z44+Data!CM44)/AB$6*100000*AB$3</f>
        <v>16841.497449716102</v>
      </c>
      <c r="AC48" s="416">
        <f>(Data!AA44+Data!CN44)/AC$6*100000*AC$3</f>
        <v>12433.834239226971</v>
      </c>
      <c r="AD48" s="416">
        <f>(Data!AB44+Data!CO44)/AD$6*100000*AD$3</f>
        <v>19696.209417601844</v>
      </c>
      <c r="AE48" s="416">
        <f>(Data!AC44+Data!CP44)/AE$6*100000*AE$3</f>
        <v>11720.650027250513</v>
      </c>
      <c r="AF48" s="416">
        <f>(Data!AD44+Data!CQ44)/AF$6*100000*AF$3</f>
        <v>8261.106024411567</v>
      </c>
      <c r="AG48" s="416">
        <f>(Data!AE44+Data!CR44)/AG$6*100000*AG$3</f>
        <v>20527.480213789906</v>
      </c>
      <c r="AH48" s="416">
        <f>(Data!AF44+Data!CS44)/AH$6*100000*AH$3</f>
        <v>4977.642090941521</v>
      </c>
      <c r="AI48" s="416">
        <f>(Data!AG44+Data!CT44)/AI$6*100000*AI$3</f>
        <v>4654.8433645207842</v>
      </c>
      <c r="AJ48" s="416">
        <f>(Data!AH44+Data!CU44)/AJ$6*100000*AJ$3</f>
        <v>4646.9121268916806</v>
      </c>
      <c r="AK48" s="424" t="s">
        <v>353</v>
      </c>
      <c r="AL48" s="416">
        <f t="shared" si="4"/>
        <v>95489.895779646526</v>
      </c>
      <c r="AM48" s="416">
        <f>(Data!Q44+Data!CD44)/AM$6*100000*AM$3</f>
        <v>0</v>
      </c>
      <c r="AN48" s="416">
        <f>(Data!R44+Data!CE44)/AN$6*100000*AN$3</f>
        <v>0</v>
      </c>
      <c r="AO48" s="416">
        <f>(Data!S44+Data!CF44)/AO$6*100000*AO$3</f>
        <v>0</v>
      </c>
      <c r="AP48" s="416">
        <f>(Data!T44+Data!CG44)/AP$6*100000*AP$3</f>
        <v>0</v>
      </c>
      <c r="AQ48" s="416">
        <f>(Data!U44+Data!CH44)/AQ$6*100000*AQ$3</f>
        <v>0</v>
      </c>
      <c r="AR48" s="416">
        <f>(Data!V44+Data!CI44)/AR$6*100000*AR$3</f>
        <v>0</v>
      </c>
      <c r="AS48" s="416">
        <f>(Data!W44+Data!CJ44)/AS$6*100000*AS$3</f>
        <v>6737.371639034086</v>
      </c>
      <c r="AT48" s="416">
        <f>(Data!X44+Data!CK44)/AT$6*100000*AT$3</f>
        <v>6804.572672836146</v>
      </c>
      <c r="AU48" s="416">
        <f>(Data!Y44+Data!CL44)/AU$6*100000*AU$3</f>
        <v>9103.2306354054981</v>
      </c>
      <c r="AV48" s="416">
        <f>(Data!Z44+Data!CM44)/AV$6*100000*AV$3</f>
        <v>14435.569242613799</v>
      </c>
      <c r="AW48" s="416">
        <f>(Data!AA44+Data!CN44)/AW$6*100000*AW$3</f>
        <v>8881.3101708764079</v>
      </c>
      <c r="AX48" s="416">
        <f>(Data!AB44+Data!CO44)/AX$6*100000*AX$3</f>
        <v>13130.806278401229</v>
      </c>
      <c r="AY48" s="416">
        <f>(Data!AC44+Data!CP44)/AY$6*100000*AY$3</f>
        <v>9376.5200218004102</v>
      </c>
      <c r="AZ48" s="416">
        <f>(Data!AD44+Data!CQ44)/AZ$6*100000*AZ$3</f>
        <v>6195.8295183086757</v>
      </c>
      <c r="BA48" s="416">
        <f>(Data!AE44+Data!CR44)/BA$6*100000*BA$3</f>
        <v>13684.986809193271</v>
      </c>
      <c r="BB48" s="416">
        <f>(Data!AF44+Data!CS44)/BB$6*100000*BB$3</f>
        <v>2488.8210454707605</v>
      </c>
      <c r="BC48" s="416">
        <f>(Data!AG44+Data!CT44)/BC$6*100000*BC$3</f>
        <v>2327.4216822603921</v>
      </c>
      <c r="BD48" s="416">
        <f>(Data!AH44+Data!CU44)/BD$6*100000*BD$3</f>
        <v>2323.4560634458403</v>
      </c>
      <c r="BE48" s="411"/>
      <c r="BF48" s="411"/>
      <c r="BG48" s="411"/>
      <c r="BH48" s="411"/>
      <c r="BI48" s="411"/>
      <c r="BJ48" s="411"/>
      <c r="BK48" s="411"/>
      <c r="BL48" s="411"/>
      <c r="BM48" s="411"/>
      <c r="BN48" s="411"/>
      <c r="BO48" s="411"/>
      <c r="BP48" s="411"/>
      <c r="BQ48" s="411"/>
      <c r="BR48" s="411"/>
      <c r="BS48" s="411"/>
      <c r="BT48" s="411"/>
      <c r="BU48" s="411"/>
      <c r="BV48" s="411"/>
      <c r="BW48" s="411"/>
      <c r="BX48" s="411"/>
      <c r="BY48" s="411"/>
      <c r="BZ48" s="411"/>
      <c r="CA48" s="411"/>
      <c r="CB48" s="411"/>
      <c r="CC48" s="411"/>
      <c r="CD48" s="411"/>
      <c r="CE48" s="411"/>
      <c r="CF48" s="411"/>
      <c r="CG48" s="411"/>
      <c r="CH48" s="411"/>
      <c r="CI48" s="411"/>
      <c r="CJ48" s="411"/>
      <c r="CK48" s="411"/>
      <c r="CL48" s="411"/>
      <c r="CM48" s="411"/>
      <c r="CN48" s="411"/>
      <c r="CO48" s="411"/>
      <c r="CP48" s="411"/>
      <c r="CQ48" s="411"/>
      <c r="CR48" s="411"/>
      <c r="CS48" s="411"/>
      <c r="CT48" s="411"/>
      <c r="CU48" s="411"/>
      <c r="CV48" s="411"/>
      <c r="CW48" s="411"/>
      <c r="CX48" s="411"/>
      <c r="CY48" s="411"/>
      <c r="CZ48" s="411"/>
      <c r="DA48" s="411"/>
      <c r="DB48" s="411"/>
      <c r="DC48" s="411"/>
      <c r="DD48" s="411"/>
      <c r="DE48" s="411"/>
      <c r="DF48" s="411"/>
      <c r="DG48" s="411"/>
      <c r="DH48" s="411"/>
      <c r="DI48" s="411"/>
      <c r="DJ48" s="411"/>
      <c r="DK48" s="411"/>
      <c r="DL48" s="411"/>
      <c r="DM48" s="411"/>
      <c r="DN48" s="411"/>
      <c r="DO48" s="411"/>
      <c r="DP48" s="411"/>
      <c r="DQ48" s="411"/>
      <c r="DR48" s="411"/>
      <c r="DS48" s="411"/>
      <c r="DT48" s="411"/>
      <c r="DU48" s="411"/>
      <c r="DV48" s="411"/>
      <c r="DW48" s="411"/>
      <c r="DX48" s="411"/>
      <c r="DY48" s="411"/>
      <c r="DZ48" s="411"/>
      <c r="EA48" s="411"/>
      <c r="EB48" s="411"/>
      <c r="EC48" s="411"/>
      <c r="ED48" s="411"/>
      <c r="EE48" s="411"/>
      <c r="EF48" s="411"/>
      <c r="EG48" s="411"/>
    </row>
    <row r="49" spans="1:137" s="352" customFormat="1" ht="12" customHeight="1">
      <c r="A49" s="276"/>
      <c r="B49" s="283" t="str">
        <f>UPPER(LEFT(TRIM(Data!B45),1)) &amp; MID(TRIM(Data!B45),2,50)</f>
        <v>Krūties navikai in situ</v>
      </c>
      <c r="C49" s="283" t="str">
        <f>UPPER(LEFT(TRIM(Data!C45),1)) &amp; MID(TRIM(Data!C45),2,50)</f>
        <v>D05</v>
      </c>
      <c r="D49" s="284">
        <f>Data!D45+Data!BQ45</f>
        <v>89</v>
      </c>
      <c r="E49" s="287">
        <f t="shared" si="5"/>
        <v>3.063778223765969</v>
      </c>
      <c r="F49" s="288">
        <f t="shared" si="6"/>
        <v>2.6233716504414706</v>
      </c>
      <c r="G49" s="286">
        <f t="shared" si="7"/>
        <v>1.9722101338947067</v>
      </c>
      <c r="H49" s="281"/>
      <c r="I49" s="281"/>
      <c r="J49" s="281"/>
      <c r="K49" s="281"/>
      <c r="L49" s="281"/>
      <c r="M49" s="281"/>
      <c r="N49" s="281"/>
      <c r="O49" s="277"/>
      <c r="P49" s="360"/>
      <c r="Q49" s="424" t="s">
        <v>353</v>
      </c>
      <c r="R49" s="416">
        <f t="shared" ref="R49:R55" si="12">SUM(S49:AJ49)</f>
        <v>262337.16504414706</v>
      </c>
      <c r="S49" s="416">
        <f>(Data!Q45+Data!CD45)/S$6*100000*S$3</f>
        <v>0</v>
      </c>
      <c r="T49" s="416">
        <f>(Data!R45+Data!CE45)/T$6*100000*T$3</f>
        <v>0</v>
      </c>
      <c r="U49" s="416">
        <f>(Data!S45+Data!CF45)/U$6*100000*U$3</f>
        <v>0</v>
      </c>
      <c r="V49" s="416">
        <f>(Data!T45+Data!CG45)/V$6*100000*V$3</f>
        <v>0</v>
      </c>
      <c r="W49" s="416">
        <f>(Data!U45+Data!CH45)/W$6*100000*W$3</f>
        <v>0</v>
      </c>
      <c r="X49" s="416">
        <f>(Data!V45+Data!CI45)/X$6*100000*X$3</f>
        <v>3578.4576847378785</v>
      </c>
      <c r="Y49" s="416">
        <f>(Data!W45+Data!CJ45)/Y$6*100000*Y$3</f>
        <v>0</v>
      </c>
      <c r="Z49" s="416">
        <f>(Data!X45+Data!CK45)/Z$6*100000*Z$3</f>
        <v>15877.336236617675</v>
      </c>
      <c r="AA49" s="416">
        <f>(Data!Y45+Data!CL45)/AA$6*100000*AA$3</f>
        <v>24781.016729714967</v>
      </c>
      <c r="AB49" s="416">
        <f>(Data!Z45+Data!CM45)/AB$6*100000*AB$3</f>
        <v>16841.497449716102</v>
      </c>
      <c r="AC49" s="416">
        <f>(Data!AA45+Data!CN45)/AC$6*100000*AC$3</f>
        <v>74603.005435361832</v>
      </c>
      <c r="AD49" s="416">
        <f>(Data!AB45+Data!CO45)/AD$6*100000*AD$3</f>
        <v>39392.418835203687</v>
      </c>
      <c r="AE49" s="416">
        <f>(Data!AC45+Data!CP45)/AE$6*100000*AE$3</f>
        <v>38092.11258856416</v>
      </c>
      <c r="AF49" s="416">
        <f>(Data!AD45+Data!CQ45)/AF$6*100000*AF$3</f>
        <v>24783.318073234703</v>
      </c>
      <c r="AG49" s="416">
        <f>(Data!AE45+Data!CR45)/AG$6*100000*AG$3</f>
        <v>18246.649078924362</v>
      </c>
      <c r="AH49" s="416">
        <f>(Data!AF45+Data!CS45)/AH$6*100000*AH$3</f>
        <v>4977.642090941521</v>
      </c>
      <c r="AI49" s="416">
        <f>(Data!AG45+Data!CT45)/AI$6*100000*AI$3</f>
        <v>1163.7108411301961</v>
      </c>
      <c r="AJ49" s="416">
        <f>(Data!AH45+Data!CU45)/AJ$6*100000*AJ$3</f>
        <v>0</v>
      </c>
      <c r="AK49" s="424" t="s">
        <v>353</v>
      </c>
      <c r="AL49" s="416">
        <f t="shared" si="4"/>
        <v>197221.01338947067</v>
      </c>
      <c r="AM49" s="416">
        <f>(Data!Q45+Data!CD45)/AM$6*100000*AM$3</f>
        <v>0</v>
      </c>
      <c r="AN49" s="416">
        <f>(Data!R45+Data!CE45)/AN$6*100000*AN$3</f>
        <v>0</v>
      </c>
      <c r="AO49" s="416">
        <f>(Data!S45+Data!CF45)/AO$6*100000*AO$3</f>
        <v>0</v>
      </c>
      <c r="AP49" s="416">
        <f>(Data!T45+Data!CG45)/AP$6*100000*AP$3</f>
        <v>0</v>
      </c>
      <c r="AQ49" s="416">
        <f>(Data!U45+Data!CH45)/AQ$6*100000*AQ$3</f>
        <v>0</v>
      </c>
      <c r="AR49" s="416">
        <f>(Data!V45+Data!CI45)/AR$6*100000*AR$3</f>
        <v>4089.6659254147185</v>
      </c>
      <c r="AS49" s="416">
        <f>(Data!W45+Data!CJ45)/AS$6*100000*AS$3</f>
        <v>0</v>
      </c>
      <c r="AT49" s="416">
        <f>(Data!X45+Data!CK45)/AT$6*100000*AT$3</f>
        <v>13609.145345672292</v>
      </c>
      <c r="AU49" s="416">
        <f>(Data!Y45+Data!CL45)/AU$6*100000*AU$3</f>
        <v>21240.871482612831</v>
      </c>
      <c r="AV49" s="416">
        <f>(Data!Z45+Data!CM45)/AV$6*100000*AV$3</f>
        <v>14435.569242613799</v>
      </c>
      <c r="AW49" s="416">
        <f>(Data!AA45+Data!CN45)/AW$6*100000*AW$3</f>
        <v>53287.861025258448</v>
      </c>
      <c r="AX49" s="416">
        <f>(Data!AB45+Data!CO45)/AX$6*100000*AX$3</f>
        <v>26261.612556802458</v>
      </c>
      <c r="AY49" s="416">
        <f>(Data!AC45+Data!CP45)/AY$6*100000*AY$3</f>
        <v>30473.690070851331</v>
      </c>
      <c r="AZ49" s="416">
        <f>(Data!AD45+Data!CQ45)/AZ$6*100000*AZ$3</f>
        <v>18587.488554926029</v>
      </c>
      <c r="BA49" s="416">
        <f>(Data!AE45+Data!CR45)/BA$6*100000*BA$3</f>
        <v>12164.432719282906</v>
      </c>
      <c r="BB49" s="416">
        <f>(Data!AF45+Data!CS45)/BB$6*100000*BB$3</f>
        <v>2488.8210454707605</v>
      </c>
      <c r="BC49" s="416">
        <f>(Data!AG45+Data!CT45)/BC$6*100000*BC$3</f>
        <v>581.85542056509803</v>
      </c>
      <c r="BD49" s="416">
        <f>(Data!AH45+Data!CU45)/BD$6*100000*BD$3</f>
        <v>0</v>
      </c>
      <c r="BE49" s="411"/>
      <c r="BF49" s="411"/>
      <c r="BG49" s="411"/>
      <c r="BH49" s="411"/>
      <c r="BI49" s="411"/>
      <c r="BJ49" s="411"/>
      <c r="BK49" s="411"/>
      <c r="BL49" s="411"/>
      <c r="BM49" s="411"/>
      <c r="BN49" s="411"/>
      <c r="BO49" s="411"/>
      <c r="BP49" s="411"/>
      <c r="BQ49" s="411"/>
      <c r="BR49" s="411"/>
      <c r="BS49" s="411"/>
      <c r="BT49" s="411"/>
      <c r="BU49" s="411"/>
      <c r="BV49" s="411"/>
      <c r="BW49" s="411"/>
      <c r="BX49" s="411"/>
      <c r="BY49" s="411"/>
      <c r="BZ49" s="411"/>
      <c r="CA49" s="411"/>
      <c r="CB49" s="411"/>
      <c r="CC49" s="411"/>
      <c r="CD49" s="411"/>
      <c r="CE49" s="411"/>
      <c r="CF49" s="411"/>
      <c r="CG49" s="411"/>
      <c r="CH49" s="411"/>
      <c r="CI49" s="411"/>
      <c r="CJ49" s="411"/>
      <c r="CK49" s="411"/>
      <c r="CL49" s="411"/>
      <c r="CM49" s="411"/>
      <c r="CN49" s="411"/>
      <c r="CO49" s="411"/>
      <c r="CP49" s="411"/>
      <c r="CQ49" s="411"/>
      <c r="CR49" s="411"/>
      <c r="CS49" s="411"/>
      <c r="CT49" s="411"/>
      <c r="CU49" s="411"/>
      <c r="CV49" s="411"/>
      <c r="CW49" s="411"/>
      <c r="CX49" s="411"/>
      <c r="CY49" s="411"/>
      <c r="CZ49" s="411"/>
      <c r="DA49" s="411"/>
      <c r="DB49" s="411"/>
      <c r="DC49" s="411"/>
      <c r="DD49" s="411"/>
      <c r="DE49" s="411"/>
      <c r="DF49" s="411"/>
      <c r="DG49" s="411"/>
      <c r="DH49" s="411"/>
      <c r="DI49" s="411"/>
      <c r="DJ49" s="411"/>
      <c r="DK49" s="411"/>
      <c r="DL49" s="411"/>
      <c r="DM49" s="411"/>
      <c r="DN49" s="411"/>
      <c r="DO49" s="411"/>
      <c r="DP49" s="411"/>
      <c r="DQ49" s="411"/>
      <c r="DR49" s="411"/>
      <c r="DS49" s="411"/>
      <c r="DT49" s="411"/>
      <c r="DU49" s="411"/>
      <c r="DV49" s="411"/>
      <c r="DW49" s="411"/>
      <c r="DX49" s="411"/>
      <c r="DY49" s="411"/>
      <c r="DZ49" s="411"/>
      <c r="EA49" s="411"/>
      <c r="EB49" s="411"/>
      <c r="EC49" s="411"/>
      <c r="ED49" s="411"/>
      <c r="EE49" s="411"/>
      <c r="EF49" s="411"/>
      <c r="EG49" s="411"/>
    </row>
    <row r="50" spans="1:137" s="352" customFormat="1" ht="12" customHeight="1">
      <c r="A50" s="276"/>
      <c r="B50" s="129" t="str">
        <f>UPPER(LEFT(TRIM(Data!B46),1)) &amp; MID(TRIM(Data!B46),2,50)</f>
        <v>Gimdos kaklelio in situ</v>
      </c>
      <c r="C50" s="129" t="str">
        <f>UPPER(LEFT(TRIM(Data!C46),1)) &amp; MID(TRIM(Data!C46),2,50)</f>
        <v>D06</v>
      </c>
      <c r="D50" s="130">
        <f>Lent02m!D46</f>
        <v>661</v>
      </c>
      <c r="E50" s="131">
        <f>Lent02m!E46</f>
        <v>42.183106591158271</v>
      </c>
      <c r="F50" s="132">
        <f>Lent02m!F46</f>
        <v>47.628739073525217</v>
      </c>
      <c r="G50" s="133">
        <f>Lent02m!G46</f>
        <v>43.427435675173058</v>
      </c>
      <c r="H50" s="281"/>
      <c r="I50" s="281"/>
      <c r="J50" s="281"/>
      <c r="K50" s="281"/>
      <c r="L50" s="281"/>
      <c r="M50" s="281"/>
      <c r="N50" s="281"/>
      <c r="O50" s="277"/>
      <c r="P50" s="269"/>
      <c r="Q50" s="424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6"/>
      <c r="AG50" s="416"/>
      <c r="AH50" s="416"/>
      <c r="AI50" s="416"/>
      <c r="AJ50" s="416"/>
      <c r="AK50" s="424"/>
      <c r="AL50" s="416"/>
      <c r="AM50" s="416"/>
      <c r="AN50" s="416"/>
      <c r="AO50" s="416"/>
      <c r="AP50" s="416"/>
      <c r="AQ50" s="416"/>
      <c r="AR50" s="416"/>
      <c r="AS50" s="416"/>
      <c r="AT50" s="416"/>
      <c r="AU50" s="416"/>
      <c r="AV50" s="416"/>
      <c r="AW50" s="416"/>
      <c r="AX50" s="416"/>
      <c r="AY50" s="416"/>
      <c r="AZ50" s="416"/>
      <c r="BA50" s="416"/>
      <c r="BB50" s="416"/>
      <c r="BC50" s="416"/>
      <c r="BD50" s="416"/>
      <c r="BE50" s="411"/>
      <c r="BF50" s="411"/>
      <c r="BG50" s="411"/>
      <c r="BH50" s="411"/>
      <c r="BI50" s="411"/>
      <c r="BJ50" s="411"/>
      <c r="BK50" s="411"/>
      <c r="BL50" s="411"/>
      <c r="BM50" s="411"/>
      <c r="BN50" s="411"/>
      <c r="BO50" s="411"/>
      <c r="BP50" s="411"/>
      <c r="BQ50" s="411"/>
      <c r="BR50" s="411"/>
      <c r="BS50" s="411"/>
      <c r="BT50" s="411"/>
      <c r="BU50" s="411"/>
      <c r="BV50" s="411"/>
      <c r="BW50" s="411"/>
      <c r="BX50" s="411"/>
      <c r="BY50" s="411"/>
      <c r="BZ50" s="411"/>
      <c r="CA50" s="411"/>
      <c r="CB50" s="411"/>
      <c r="CC50" s="411"/>
      <c r="CD50" s="411"/>
      <c r="CE50" s="411"/>
      <c r="CF50" s="411"/>
      <c r="CG50" s="411"/>
      <c r="CH50" s="411"/>
      <c r="CI50" s="411"/>
      <c r="CJ50" s="411"/>
      <c r="CK50" s="411"/>
      <c r="CL50" s="411"/>
      <c r="CM50" s="411"/>
      <c r="CN50" s="411"/>
      <c r="CO50" s="411"/>
      <c r="CP50" s="411"/>
      <c r="CQ50" s="411"/>
      <c r="CR50" s="411"/>
      <c r="CS50" s="411"/>
      <c r="CT50" s="411"/>
      <c r="CU50" s="411"/>
      <c r="CV50" s="411"/>
      <c r="CW50" s="411"/>
      <c r="CX50" s="411"/>
      <c r="CY50" s="411"/>
      <c r="CZ50" s="411"/>
      <c r="DA50" s="411"/>
      <c r="DB50" s="411"/>
      <c r="DC50" s="411"/>
      <c r="DD50" s="411"/>
      <c r="DE50" s="411"/>
      <c r="DF50" s="411"/>
      <c r="DG50" s="411"/>
      <c r="DH50" s="411"/>
      <c r="DI50" s="411"/>
      <c r="DJ50" s="411"/>
      <c r="DK50" s="411"/>
      <c r="DL50" s="411"/>
      <c r="DM50" s="411"/>
      <c r="DN50" s="411"/>
      <c r="DO50" s="411"/>
      <c r="DP50" s="411"/>
      <c r="DQ50" s="411"/>
      <c r="DR50" s="411"/>
      <c r="DS50" s="411"/>
      <c r="DT50" s="411"/>
      <c r="DU50" s="411"/>
      <c r="DV50" s="411"/>
      <c r="DW50" s="411"/>
      <c r="DX50" s="411"/>
      <c r="DY50" s="411"/>
      <c r="DZ50" s="411"/>
      <c r="EA50" s="411"/>
      <c r="EB50" s="411"/>
      <c r="EC50" s="411"/>
      <c r="ED50" s="411"/>
      <c r="EE50" s="411"/>
      <c r="EF50" s="411"/>
      <c r="EG50" s="411"/>
    </row>
    <row r="51" spans="1:137" s="352" customFormat="1" ht="12" customHeight="1">
      <c r="A51" s="276"/>
      <c r="B51" s="283" t="str">
        <f>UPPER(LEFT(TRIM(Data!B47),1)) &amp; MID(TRIM(Data!B47),2,50)</f>
        <v>Šlapimo pūslės in situ</v>
      </c>
      <c r="C51" s="283" t="str">
        <f>UPPER(LEFT(TRIM(Data!C47),1)) &amp; MID(TRIM(Data!C47),2,50)</f>
        <v>D09.0</v>
      </c>
      <c r="D51" s="284">
        <f>Data!D47+Data!BQ47</f>
        <v>147</v>
      </c>
      <c r="E51" s="287">
        <f t="shared" si="5"/>
        <v>5.0603977403774989</v>
      </c>
      <c r="F51" s="288">
        <f t="shared" si="6"/>
        <v>3.6442698199241845</v>
      </c>
      <c r="G51" s="286">
        <f t="shared" si="7"/>
        <v>2.613572132849761</v>
      </c>
      <c r="H51" s="281"/>
      <c r="I51" s="281"/>
      <c r="J51" s="281"/>
      <c r="K51" s="281"/>
      <c r="L51" s="281"/>
      <c r="M51" s="281"/>
      <c r="N51" s="281"/>
      <c r="O51" s="277"/>
      <c r="P51" s="269"/>
      <c r="Q51" s="424" t="s">
        <v>353</v>
      </c>
      <c r="R51" s="416">
        <f t="shared" si="12"/>
        <v>364426.98199241847</v>
      </c>
      <c r="S51" s="416">
        <f>(Data!Q47+Data!CD47)/S$6*100000*S$3</f>
        <v>0</v>
      </c>
      <c r="T51" s="416">
        <f>(Data!R47+Data!CE47)/T$6*100000*T$3</f>
        <v>0</v>
      </c>
      <c r="U51" s="416">
        <f>(Data!S47+Data!CF47)/U$6*100000*U$3</f>
        <v>0</v>
      </c>
      <c r="V51" s="416">
        <f>(Data!T47+Data!CG47)/V$6*100000*V$3</f>
        <v>8420.0396944728454</v>
      </c>
      <c r="W51" s="416">
        <f>(Data!U47+Data!CH47)/W$6*100000*W$3</f>
        <v>3473.6868223209194</v>
      </c>
      <c r="X51" s="416">
        <f>(Data!V47+Data!CI47)/X$6*100000*X$3</f>
        <v>3578.4576847378785</v>
      </c>
      <c r="Y51" s="416">
        <f>(Data!W47+Data!CJ47)/Y$6*100000*Y$3</f>
        <v>0</v>
      </c>
      <c r="Z51" s="416">
        <f>(Data!X47+Data!CK47)/Z$6*100000*Z$3</f>
        <v>0</v>
      </c>
      <c r="AA51" s="416">
        <f>(Data!Y47+Data!CL47)/AA$6*100000*AA$3</f>
        <v>7080.2904942042751</v>
      </c>
      <c r="AB51" s="416">
        <f>(Data!Z47+Data!CM47)/AB$6*100000*AB$3</f>
        <v>13473.19795977288</v>
      </c>
      <c r="AC51" s="416">
        <f>(Data!AA47+Data!CN47)/AC$6*100000*AC$3</f>
        <v>34193.044157874167</v>
      </c>
      <c r="AD51" s="416">
        <f>(Data!AB47+Data!CO47)/AD$6*100000*AD$3</f>
        <v>50647.395645261895</v>
      </c>
      <c r="AE51" s="416">
        <f>(Data!AC47+Data!CP47)/AE$6*100000*AE$3</f>
        <v>55673.087629439928</v>
      </c>
      <c r="AF51" s="416">
        <f>(Data!AD47+Data!CQ47)/AF$6*100000*AF$3</f>
        <v>85364.762252252869</v>
      </c>
      <c r="AG51" s="416">
        <f>(Data!AE47+Data!CR47)/AG$6*100000*AG$3</f>
        <v>41054.960427579812</v>
      </c>
      <c r="AH51" s="416">
        <f>(Data!AF47+Data!CS47)/AH$6*100000*AH$3</f>
        <v>44798.778818473686</v>
      </c>
      <c r="AI51" s="416">
        <f>(Data!AG47+Data!CT47)/AI$6*100000*AI$3</f>
        <v>10473.397570171765</v>
      </c>
      <c r="AJ51" s="416">
        <f>(Data!AH47+Data!CU47)/AJ$6*100000*AJ$3</f>
        <v>6195.8828358555738</v>
      </c>
      <c r="AK51" s="424" t="s">
        <v>353</v>
      </c>
      <c r="AL51" s="416">
        <f t="shared" si="4"/>
        <v>261357.21328497608</v>
      </c>
      <c r="AM51" s="416">
        <f>(Data!Q47+Data!CD47)/AM$6*100000*AM$3</f>
        <v>0</v>
      </c>
      <c r="AN51" s="416">
        <f>(Data!R47+Data!CE47)/AN$6*100000*AN$3</f>
        <v>0</v>
      </c>
      <c r="AO51" s="416">
        <f>(Data!S47+Data!CF47)/AO$6*100000*AO$3</f>
        <v>0</v>
      </c>
      <c r="AP51" s="416">
        <f>(Data!T47+Data!CG47)/AP$6*100000*AP$3</f>
        <v>10825.765321465087</v>
      </c>
      <c r="AQ51" s="416">
        <f>(Data!U47+Data!CH47)/AQ$6*100000*AQ$3</f>
        <v>3969.9277969381933</v>
      </c>
      <c r="AR51" s="416">
        <f>(Data!V47+Data!CI47)/AR$6*100000*AR$3</f>
        <v>4089.6659254147185</v>
      </c>
      <c r="AS51" s="416">
        <f>(Data!W47+Data!CJ47)/AS$6*100000*AS$3</f>
        <v>0</v>
      </c>
      <c r="AT51" s="416">
        <f>(Data!X47+Data!CK47)/AT$6*100000*AT$3</f>
        <v>0</v>
      </c>
      <c r="AU51" s="416">
        <f>(Data!Y47+Data!CL47)/AU$6*100000*AU$3</f>
        <v>6068.8204236036645</v>
      </c>
      <c r="AV51" s="416">
        <f>(Data!Z47+Data!CM47)/AV$6*100000*AV$3</f>
        <v>11548.455394091039</v>
      </c>
      <c r="AW51" s="416">
        <f>(Data!AA47+Data!CN47)/AW$6*100000*AW$3</f>
        <v>24423.60296991012</v>
      </c>
      <c r="AX51" s="416">
        <f>(Data!AB47+Data!CO47)/AX$6*100000*AX$3</f>
        <v>33764.930430174594</v>
      </c>
      <c r="AY51" s="416">
        <f>(Data!AC47+Data!CP47)/AY$6*100000*AY$3</f>
        <v>44538.470103551947</v>
      </c>
      <c r="AZ51" s="416">
        <f>(Data!AD47+Data!CQ47)/AZ$6*100000*AZ$3</f>
        <v>64023.571689189652</v>
      </c>
      <c r="BA51" s="416">
        <f>(Data!AE47+Data!CR47)/BA$6*100000*BA$3</f>
        <v>27369.973618386543</v>
      </c>
      <c r="BB51" s="416">
        <f>(Data!AF47+Data!CS47)/BB$6*100000*BB$3</f>
        <v>22399.389409236843</v>
      </c>
      <c r="BC51" s="416">
        <f>(Data!AG47+Data!CT47)/BC$6*100000*BC$3</f>
        <v>5236.6987850858823</v>
      </c>
      <c r="BD51" s="416">
        <f>(Data!AH47+Data!CU47)/BD$6*100000*BD$3</f>
        <v>3097.9414179277869</v>
      </c>
      <c r="BE51" s="411"/>
      <c r="BF51" s="411"/>
      <c r="BG51" s="411"/>
      <c r="BH51" s="411"/>
      <c r="BI51" s="411"/>
      <c r="BJ51" s="411"/>
      <c r="BK51" s="411"/>
      <c r="BL51" s="411"/>
      <c r="BM51" s="411"/>
      <c r="BN51" s="411"/>
      <c r="BO51" s="411"/>
      <c r="BP51" s="411"/>
      <c r="BQ51" s="411"/>
      <c r="BR51" s="411"/>
      <c r="BS51" s="411"/>
      <c r="BT51" s="411"/>
      <c r="BU51" s="411"/>
      <c r="BV51" s="411"/>
      <c r="BW51" s="411"/>
      <c r="BX51" s="411"/>
      <c r="BY51" s="411"/>
      <c r="BZ51" s="411"/>
      <c r="CA51" s="411"/>
      <c r="CB51" s="411"/>
      <c r="CC51" s="411"/>
      <c r="CD51" s="411"/>
      <c r="CE51" s="411"/>
      <c r="CF51" s="411"/>
      <c r="CG51" s="411"/>
      <c r="CH51" s="411"/>
      <c r="CI51" s="411"/>
      <c r="CJ51" s="411"/>
      <c r="CK51" s="411"/>
      <c r="CL51" s="411"/>
      <c r="CM51" s="411"/>
      <c r="CN51" s="411"/>
      <c r="CO51" s="411"/>
      <c r="CP51" s="411"/>
      <c r="CQ51" s="411"/>
      <c r="CR51" s="411"/>
      <c r="CS51" s="411"/>
      <c r="CT51" s="411"/>
      <c r="CU51" s="411"/>
      <c r="CV51" s="411"/>
      <c r="CW51" s="411"/>
      <c r="CX51" s="411"/>
      <c r="CY51" s="411"/>
      <c r="CZ51" s="411"/>
      <c r="DA51" s="411"/>
      <c r="DB51" s="411"/>
      <c r="DC51" s="411"/>
      <c r="DD51" s="411"/>
      <c r="DE51" s="411"/>
      <c r="DF51" s="411"/>
      <c r="DG51" s="411"/>
      <c r="DH51" s="411"/>
      <c r="DI51" s="411"/>
      <c r="DJ51" s="411"/>
      <c r="DK51" s="411"/>
      <c r="DL51" s="411"/>
      <c r="DM51" s="411"/>
      <c r="DN51" s="411"/>
      <c r="DO51" s="411"/>
      <c r="DP51" s="411"/>
      <c r="DQ51" s="411"/>
      <c r="DR51" s="411"/>
      <c r="DS51" s="411"/>
      <c r="DT51" s="411"/>
      <c r="DU51" s="411"/>
      <c r="DV51" s="411"/>
      <c r="DW51" s="411"/>
      <c r="DX51" s="411"/>
      <c r="DY51" s="411"/>
      <c r="DZ51" s="411"/>
      <c r="EA51" s="411"/>
      <c r="EB51" s="411"/>
      <c r="EC51" s="411"/>
      <c r="ED51" s="411"/>
      <c r="EE51" s="411"/>
      <c r="EF51" s="411"/>
      <c r="EG51" s="411"/>
    </row>
    <row r="52" spans="1:137" s="352" customFormat="1" ht="12" customHeight="1">
      <c r="A52" s="276"/>
      <c r="B52" s="129" t="str">
        <f>UPPER(LEFT(TRIM(Data!B48),1)) &amp; MID(TRIM(Data!B48),2,50)</f>
        <v>Nervų sistemos gerybiniai navikai</v>
      </c>
      <c r="C52" s="129" t="str">
        <f>UPPER(LEFT(TRIM(Data!C48),1)) &amp; MID(TRIM(Data!C48),2,50)</f>
        <v>D32, D33</v>
      </c>
      <c r="D52" s="130">
        <f>Data!D48+Data!BQ48</f>
        <v>203</v>
      </c>
      <c r="E52" s="131">
        <f t="shared" si="5"/>
        <v>6.9881683081403549</v>
      </c>
      <c r="F52" s="132">
        <f t="shared" si="6"/>
        <v>5.4303717559882605</v>
      </c>
      <c r="G52" s="133">
        <f t="shared" si="7"/>
        <v>4.1473305948651662</v>
      </c>
      <c r="H52" s="281"/>
      <c r="I52" s="281"/>
      <c r="J52" s="281"/>
      <c r="K52" s="281"/>
      <c r="L52" s="281"/>
      <c r="M52" s="281"/>
      <c r="N52" s="281"/>
      <c r="O52" s="277"/>
      <c r="P52" s="269"/>
      <c r="Q52" s="424" t="s">
        <v>353</v>
      </c>
      <c r="R52" s="416">
        <f t="shared" si="12"/>
        <v>543037.17559882603</v>
      </c>
      <c r="S52" s="416">
        <f>(Data!Q48+Data!CD48)/S$6*100000*S$3</f>
        <v>15895.724050230489</v>
      </c>
      <c r="T52" s="416">
        <f>(Data!R48+Data!CE48)/T$6*100000*T$3</f>
        <v>0</v>
      </c>
      <c r="U52" s="416">
        <f>(Data!S48+Data!CF48)/U$6*100000*U$3</f>
        <v>10429.082240762813</v>
      </c>
      <c r="V52" s="416">
        <f>(Data!T48+Data!CG48)/V$6*100000*V$3</f>
        <v>0</v>
      </c>
      <c r="W52" s="416">
        <f>(Data!U48+Data!CH48)/W$6*100000*W$3</f>
        <v>6947.3736446418388</v>
      </c>
      <c r="X52" s="416">
        <f>(Data!V48+Data!CI48)/X$6*100000*X$3</f>
        <v>7156.915369475757</v>
      </c>
      <c r="Y52" s="416">
        <f>(Data!W48+Data!CJ48)/Y$6*100000*Y$3</f>
        <v>11790.400368309651</v>
      </c>
      <c r="Z52" s="416">
        <f>(Data!X48+Data!CK48)/Z$6*100000*Z$3</f>
        <v>27785.338414080928</v>
      </c>
      <c r="AA52" s="416">
        <f>(Data!Y48+Data!CL48)/AA$6*100000*AA$3</f>
        <v>35401.452471021381</v>
      </c>
      <c r="AB52" s="416">
        <f>(Data!Z48+Data!CM48)/AB$6*100000*AB$3</f>
        <v>23578.096429602541</v>
      </c>
      <c r="AC52" s="416">
        <f>(Data!AA48+Data!CN48)/AC$6*100000*AC$3</f>
        <v>74603.005435361832</v>
      </c>
      <c r="AD52" s="416">
        <f>(Data!AB48+Data!CO48)/AD$6*100000*AD$3</f>
        <v>59088.628252805538</v>
      </c>
      <c r="AE52" s="416">
        <f>(Data!AC48+Data!CP48)/AE$6*100000*AE$3</f>
        <v>76184.225177128319</v>
      </c>
      <c r="AF52" s="416">
        <f>(Data!AD48+Data!CQ48)/AF$6*100000*AF$3</f>
        <v>60581.444179018174</v>
      </c>
      <c r="AG52" s="416">
        <f>(Data!AE48+Data!CR48)/AG$6*100000*AG$3</f>
        <v>66144.10291110081</v>
      </c>
      <c r="AH52" s="416">
        <f>(Data!AF48+Data!CS48)/AH$6*100000*AH$3</f>
        <v>41480.350757846012</v>
      </c>
      <c r="AI52" s="416">
        <f>(Data!AG48+Data!CT48)/AI$6*100000*AI$3</f>
        <v>15128.240934692547</v>
      </c>
      <c r="AJ52" s="416">
        <f>(Data!AH48+Data!CU48)/AJ$6*100000*AJ$3</f>
        <v>10842.794962747254</v>
      </c>
      <c r="AK52" s="424" t="s">
        <v>353</v>
      </c>
      <c r="AL52" s="416">
        <f t="shared" si="4"/>
        <v>414733.05948651663</v>
      </c>
      <c r="AM52" s="416">
        <f>(Data!Q48+Data!CD48)/AM$6*100000*AM$3</f>
        <v>23843.586075345731</v>
      </c>
      <c r="AN52" s="416">
        <f>(Data!R48+Data!CE48)/AN$6*100000*AN$3</f>
        <v>0</v>
      </c>
      <c r="AO52" s="416">
        <f>(Data!S48+Data!CF48)/AO$6*100000*AO$3</f>
        <v>13408.820023837901</v>
      </c>
      <c r="AP52" s="416">
        <f>(Data!T48+Data!CG48)/AP$6*100000*AP$3</f>
        <v>0</v>
      </c>
      <c r="AQ52" s="416">
        <f>(Data!U48+Data!CH48)/AQ$6*100000*AQ$3</f>
        <v>7939.8555938763866</v>
      </c>
      <c r="AR52" s="416">
        <f>(Data!V48+Data!CI48)/AR$6*100000*AR$3</f>
        <v>8179.3318508294369</v>
      </c>
      <c r="AS52" s="416">
        <f>(Data!W48+Data!CJ48)/AS$6*100000*AS$3</f>
        <v>10106.057458551128</v>
      </c>
      <c r="AT52" s="416">
        <f>(Data!X48+Data!CK48)/AT$6*100000*AT$3</f>
        <v>23816.00435492651</v>
      </c>
      <c r="AU52" s="416">
        <f>(Data!Y48+Data!CL48)/AU$6*100000*AU$3</f>
        <v>30344.102118018327</v>
      </c>
      <c r="AV52" s="416">
        <f>(Data!Z48+Data!CM48)/AV$6*100000*AV$3</f>
        <v>20209.796939659322</v>
      </c>
      <c r="AW52" s="416">
        <f>(Data!AA48+Data!CN48)/AW$6*100000*AW$3</f>
        <v>53287.861025258448</v>
      </c>
      <c r="AX52" s="416">
        <f>(Data!AB48+Data!CO48)/AX$6*100000*AX$3</f>
        <v>39392.418835203694</v>
      </c>
      <c r="AY52" s="416">
        <f>(Data!AC48+Data!CP48)/AY$6*100000*AY$3</f>
        <v>60947.380141702663</v>
      </c>
      <c r="AZ52" s="416">
        <f>(Data!AD48+Data!CQ48)/AZ$6*100000*AZ$3</f>
        <v>45436.08313426363</v>
      </c>
      <c r="BA52" s="416">
        <f>(Data!AE48+Data!CR48)/BA$6*100000*BA$3</f>
        <v>44096.068607400543</v>
      </c>
      <c r="BB52" s="416">
        <f>(Data!AF48+Data!CS48)/BB$6*100000*BB$3</f>
        <v>20740.175378923006</v>
      </c>
      <c r="BC52" s="416">
        <f>(Data!AG48+Data!CT48)/BC$6*100000*BC$3</f>
        <v>7564.1204673462735</v>
      </c>
      <c r="BD52" s="416">
        <f>(Data!AH48+Data!CU48)/BD$6*100000*BD$3</f>
        <v>5421.3974813736268</v>
      </c>
      <c r="BE52" s="411"/>
      <c r="BF52" s="411"/>
      <c r="BG52" s="411"/>
      <c r="BH52" s="411"/>
      <c r="BI52" s="411"/>
      <c r="BJ52" s="411"/>
      <c r="BK52" s="411"/>
      <c r="BL52" s="411"/>
      <c r="BM52" s="411"/>
      <c r="BN52" s="411"/>
      <c r="BO52" s="411"/>
      <c r="BP52" s="411"/>
      <c r="BQ52" s="411"/>
      <c r="BR52" s="411"/>
      <c r="BS52" s="411"/>
      <c r="BT52" s="411"/>
      <c r="BU52" s="411"/>
      <c r="BV52" s="411"/>
      <c r="BW52" s="411"/>
      <c r="BX52" s="411"/>
      <c r="BY52" s="411"/>
      <c r="BZ52" s="411"/>
      <c r="CA52" s="411"/>
      <c r="CB52" s="411"/>
      <c r="CC52" s="411"/>
      <c r="CD52" s="411"/>
      <c r="CE52" s="411"/>
      <c r="CF52" s="411"/>
      <c r="CG52" s="411"/>
      <c r="CH52" s="411"/>
      <c r="CI52" s="411"/>
      <c r="CJ52" s="411"/>
      <c r="CK52" s="411"/>
      <c r="CL52" s="411"/>
      <c r="CM52" s="411"/>
      <c r="CN52" s="411"/>
      <c r="CO52" s="411"/>
      <c r="CP52" s="411"/>
      <c r="CQ52" s="411"/>
      <c r="CR52" s="411"/>
      <c r="CS52" s="411"/>
      <c r="CT52" s="411"/>
      <c r="CU52" s="411"/>
      <c r="CV52" s="411"/>
      <c r="CW52" s="411"/>
      <c r="CX52" s="411"/>
      <c r="CY52" s="411"/>
      <c r="CZ52" s="411"/>
      <c r="DA52" s="411"/>
      <c r="DB52" s="411"/>
      <c r="DC52" s="411"/>
      <c r="DD52" s="411"/>
      <c r="DE52" s="411"/>
      <c r="DF52" s="411"/>
      <c r="DG52" s="411"/>
      <c r="DH52" s="411"/>
      <c r="DI52" s="411"/>
      <c r="DJ52" s="411"/>
      <c r="DK52" s="411"/>
      <c r="DL52" s="411"/>
      <c r="DM52" s="411"/>
      <c r="DN52" s="411"/>
      <c r="DO52" s="411"/>
      <c r="DP52" s="411"/>
      <c r="DQ52" s="411"/>
      <c r="DR52" s="411"/>
      <c r="DS52" s="411"/>
      <c r="DT52" s="411"/>
      <c r="DU52" s="411"/>
      <c r="DV52" s="411"/>
      <c r="DW52" s="411"/>
      <c r="DX52" s="411"/>
      <c r="DY52" s="411"/>
      <c r="DZ52" s="411"/>
      <c r="EA52" s="411"/>
      <c r="EB52" s="411"/>
      <c r="EC52" s="411"/>
      <c r="ED52" s="411"/>
      <c r="EE52" s="411"/>
      <c r="EF52" s="411"/>
      <c r="EG52" s="411"/>
    </row>
    <row r="53" spans="1:137" s="352" customFormat="1" ht="12" customHeight="1">
      <c r="A53" s="276"/>
      <c r="B53" s="283" t="str">
        <f>UPPER(LEFT(TRIM(Data!B49),1)) &amp; MID(TRIM(Data!B49),2,50)</f>
        <v>Kiaušidžių</v>
      </c>
      <c r="C53" s="283" t="str">
        <f>UPPER(LEFT(TRIM(Data!C49),1)) &amp; MID(TRIM(Data!C49),2,50)</f>
        <v>D39.1</v>
      </c>
      <c r="D53" s="284">
        <f>Lent02m!D49</f>
        <v>67</v>
      </c>
      <c r="E53" s="287">
        <f>Lent02m!E49</f>
        <v>4.2757460538692946</v>
      </c>
      <c r="F53" s="288">
        <f>Lent02m!F49</f>
        <v>4.0380381681611626</v>
      </c>
      <c r="G53" s="286">
        <f>Lent02m!G49</f>
        <v>3.3679109300558432</v>
      </c>
      <c r="H53" s="281"/>
      <c r="I53" s="281"/>
      <c r="J53" s="281"/>
      <c r="K53" s="281"/>
      <c r="L53" s="281"/>
      <c r="M53" s="281"/>
      <c r="N53" s="281"/>
      <c r="O53" s="277"/>
      <c r="P53" s="269"/>
      <c r="Q53" s="424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6"/>
      <c r="AG53" s="416"/>
      <c r="AH53" s="416"/>
      <c r="AI53" s="416"/>
      <c r="AJ53" s="416"/>
      <c r="AK53" s="424"/>
      <c r="AL53" s="416"/>
      <c r="AM53" s="416"/>
      <c r="AN53" s="416"/>
      <c r="AO53" s="416"/>
      <c r="AP53" s="416"/>
      <c r="AQ53" s="416"/>
      <c r="AR53" s="416"/>
      <c r="AS53" s="416"/>
      <c r="AT53" s="416"/>
      <c r="AU53" s="416"/>
      <c r="AV53" s="416"/>
      <c r="AW53" s="416"/>
      <c r="AX53" s="416"/>
      <c r="AY53" s="416"/>
      <c r="AZ53" s="416"/>
      <c r="BA53" s="416"/>
      <c r="BB53" s="416"/>
      <c r="BC53" s="416"/>
      <c r="BD53" s="416"/>
      <c r="BE53" s="411"/>
      <c r="BF53" s="411"/>
      <c r="BG53" s="411"/>
      <c r="BH53" s="411"/>
      <c r="BI53" s="411"/>
      <c r="BJ53" s="411"/>
      <c r="BK53" s="411"/>
      <c r="BL53" s="411"/>
      <c r="BM53" s="411"/>
      <c r="BN53" s="411"/>
      <c r="BO53" s="411"/>
      <c r="BP53" s="411"/>
      <c r="BQ53" s="411"/>
      <c r="BR53" s="411"/>
      <c r="BS53" s="411"/>
      <c r="BT53" s="411"/>
      <c r="BU53" s="411"/>
      <c r="BV53" s="411"/>
      <c r="BW53" s="411"/>
      <c r="BX53" s="411"/>
      <c r="BY53" s="411"/>
      <c r="BZ53" s="411"/>
      <c r="CA53" s="411"/>
      <c r="CB53" s="411"/>
      <c r="CC53" s="411"/>
      <c r="CD53" s="411"/>
      <c r="CE53" s="411"/>
      <c r="CF53" s="411"/>
      <c r="CG53" s="411"/>
      <c r="CH53" s="411"/>
      <c r="CI53" s="411"/>
      <c r="CJ53" s="411"/>
      <c r="CK53" s="411"/>
      <c r="CL53" s="411"/>
      <c r="CM53" s="411"/>
      <c r="CN53" s="411"/>
      <c r="CO53" s="411"/>
      <c r="CP53" s="411"/>
      <c r="CQ53" s="411"/>
      <c r="CR53" s="411"/>
      <c r="CS53" s="411"/>
      <c r="CT53" s="411"/>
      <c r="CU53" s="411"/>
      <c r="CV53" s="411"/>
      <c r="CW53" s="411"/>
      <c r="CX53" s="411"/>
      <c r="CY53" s="411"/>
      <c r="CZ53" s="411"/>
      <c r="DA53" s="411"/>
      <c r="DB53" s="411"/>
      <c r="DC53" s="411"/>
      <c r="DD53" s="411"/>
      <c r="DE53" s="411"/>
      <c r="DF53" s="411"/>
      <c r="DG53" s="411"/>
      <c r="DH53" s="411"/>
      <c r="DI53" s="411"/>
      <c r="DJ53" s="411"/>
      <c r="DK53" s="411"/>
      <c r="DL53" s="411"/>
      <c r="DM53" s="411"/>
      <c r="DN53" s="411"/>
      <c r="DO53" s="411"/>
      <c r="DP53" s="411"/>
      <c r="DQ53" s="411"/>
      <c r="DR53" s="411"/>
      <c r="DS53" s="411"/>
      <c r="DT53" s="411"/>
      <c r="DU53" s="411"/>
      <c r="DV53" s="411"/>
      <c r="DW53" s="411"/>
      <c r="DX53" s="411"/>
      <c r="DY53" s="411"/>
      <c r="DZ53" s="411"/>
      <c r="EA53" s="411"/>
      <c r="EB53" s="411"/>
      <c r="EC53" s="411"/>
      <c r="ED53" s="411"/>
      <c r="EE53" s="411"/>
      <c r="EF53" s="411"/>
      <c r="EG53" s="411"/>
    </row>
    <row r="54" spans="1:137" s="352" customFormat="1" ht="12" customHeight="1">
      <c r="A54" s="276"/>
      <c r="B54" s="129" t="str">
        <f>UPPER(LEFT(TRIM(Data!B50),1)) &amp; MID(TRIM(Data!B50),2,50)</f>
        <v>Kiti nervų sistemos</v>
      </c>
      <c r="C54" s="129" t="str">
        <f>UPPER(LEFT(TRIM(Data!C50),1)) &amp; MID(TRIM(Data!C50),2,50)</f>
        <v>D42, D43</v>
      </c>
      <c r="D54" s="130">
        <f>Data!D50+Data!BQ50</f>
        <v>49</v>
      </c>
      <c r="E54" s="131">
        <f t="shared" si="5"/>
        <v>1.6867992467924995</v>
      </c>
      <c r="F54" s="132">
        <f t="shared" si="6"/>
        <v>1.310438805215361</v>
      </c>
      <c r="G54" s="133">
        <f t="shared" si="7"/>
        <v>1.124432729619117</v>
      </c>
      <c r="H54" s="281"/>
      <c r="I54" s="281"/>
      <c r="J54" s="281"/>
      <c r="K54" s="281"/>
      <c r="L54" s="281"/>
      <c r="M54" s="281"/>
      <c r="N54" s="281"/>
      <c r="O54" s="277"/>
      <c r="P54" s="269"/>
      <c r="Q54" s="424" t="s">
        <v>353</v>
      </c>
      <c r="R54" s="416">
        <f t="shared" si="12"/>
        <v>131043.88052153611</v>
      </c>
      <c r="S54" s="416">
        <f>(Data!Q50+Data!CD50)/S$6*100000*S$3</f>
        <v>21194.298733640651</v>
      </c>
      <c r="T54" s="416">
        <f>(Data!R50+Data!CE50)/T$6*100000*T$3</f>
        <v>0</v>
      </c>
      <c r="U54" s="416">
        <f>(Data!S50+Data!CF50)/U$6*100000*U$3</f>
        <v>5214.5411203814065</v>
      </c>
      <c r="V54" s="416">
        <f>(Data!T50+Data!CG50)/V$6*100000*V$3</f>
        <v>0</v>
      </c>
      <c r="W54" s="416">
        <f>(Data!U50+Data!CH50)/W$6*100000*W$3</f>
        <v>0</v>
      </c>
      <c r="X54" s="416">
        <f>(Data!V50+Data!CI50)/X$6*100000*X$3</f>
        <v>0</v>
      </c>
      <c r="Y54" s="416">
        <f>(Data!W50+Data!CJ50)/Y$6*100000*Y$3</f>
        <v>7860.2669122064335</v>
      </c>
      <c r="Z54" s="416">
        <f>(Data!X50+Data!CK50)/Z$6*100000*Z$3</f>
        <v>3969.3340591544188</v>
      </c>
      <c r="AA54" s="416">
        <f>(Data!Y50+Data!CL50)/AA$6*100000*AA$3</f>
        <v>7080.2904942042751</v>
      </c>
      <c r="AB54" s="416">
        <f>(Data!Z50+Data!CM50)/AB$6*100000*AB$3</f>
        <v>10104.898469829659</v>
      </c>
      <c r="AC54" s="416">
        <f>(Data!AA50+Data!CN50)/AC$6*100000*AC$3</f>
        <v>9325.3756794202291</v>
      </c>
      <c r="AD54" s="416">
        <f>(Data!AB50+Data!CO50)/AD$6*100000*AD$3</f>
        <v>8441.2326075436486</v>
      </c>
      <c r="AE54" s="416">
        <f>(Data!AC50+Data!CP50)/AE$6*100000*AE$3</f>
        <v>11720.650027250513</v>
      </c>
      <c r="AF54" s="416">
        <f>(Data!AD50+Data!CQ50)/AF$6*100000*AF$3</f>
        <v>8261.106024411567</v>
      </c>
      <c r="AG54" s="416">
        <f>(Data!AE50+Data!CR50)/AG$6*100000*AG$3</f>
        <v>13684.986809193269</v>
      </c>
      <c r="AH54" s="416">
        <f>(Data!AF50+Data!CS50)/AH$6*100000*AH$3</f>
        <v>8296.0701515692017</v>
      </c>
      <c r="AI54" s="416">
        <f>(Data!AG50+Data!CT50)/AI$6*100000*AI$3</f>
        <v>8145.9758879113715</v>
      </c>
      <c r="AJ54" s="416">
        <f>(Data!AH50+Data!CU50)/AJ$6*100000*AJ$3</f>
        <v>7744.853544819468</v>
      </c>
      <c r="AK54" s="424" t="s">
        <v>353</v>
      </c>
      <c r="AL54" s="416">
        <f t="shared" si="4"/>
        <v>112443.2729619117</v>
      </c>
      <c r="AM54" s="416">
        <f>(Data!Q50+Data!CD50)/AM$6*100000*AM$3</f>
        <v>31791.448100460977</v>
      </c>
      <c r="AN54" s="416">
        <f>(Data!R50+Data!CE50)/AN$6*100000*AN$3</f>
        <v>0</v>
      </c>
      <c r="AO54" s="416">
        <f>(Data!S50+Data!CF50)/AO$6*100000*AO$3</f>
        <v>6704.4100119189507</v>
      </c>
      <c r="AP54" s="416">
        <f>(Data!T50+Data!CG50)/AP$6*100000*AP$3</f>
        <v>0</v>
      </c>
      <c r="AQ54" s="416">
        <f>(Data!U50+Data!CH50)/AQ$6*100000*AQ$3</f>
        <v>0</v>
      </c>
      <c r="AR54" s="416">
        <f>(Data!V50+Data!CI50)/AR$6*100000*AR$3</f>
        <v>0</v>
      </c>
      <c r="AS54" s="416">
        <f>(Data!W50+Data!CJ50)/AS$6*100000*AS$3</f>
        <v>6737.371639034086</v>
      </c>
      <c r="AT54" s="416">
        <f>(Data!X50+Data!CK50)/AT$6*100000*AT$3</f>
        <v>3402.286336418073</v>
      </c>
      <c r="AU54" s="416">
        <f>(Data!Y50+Data!CL50)/AU$6*100000*AU$3</f>
        <v>6068.8204236036645</v>
      </c>
      <c r="AV54" s="416">
        <f>(Data!Z50+Data!CM50)/AV$6*100000*AV$3</f>
        <v>8661.3415455682789</v>
      </c>
      <c r="AW54" s="416">
        <f>(Data!AA50+Data!CN50)/AW$6*100000*AW$3</f>
        <v>6660.982628157306</v>
      </c>
      <c r="AX54" s="416">
        <f>(Data!AB50+Data!CO50)/AX$6*100000*AX$3</f>
        <v>5627.4884050290984</v>
      </c>
      <c r="AY54" s="416">
        <f>(Data!AC50+Data!CP50)/AY$6*100000*AY$3</f>
        <v>9376.5200218004102</v>
      </c>
      <c r="AZ54" s="416">
        <f>(Data!AD50+Data!CQ50)/AZ$6*100000*AZ$3</f>
        <v>6195.8295183086757</v>
      </c>
      <c r="BA54" s="416">
        <f>(Data!AE50+Data!CR50)/BA$6*100000*BA$3</f>
        <v>9123.3245394621808</v>
      </c>
      <c r="BB54" s="416">
        <f>(Data!AF50+Data!CS50)/BB$6*100000*BB$3</f>
        <v>4148.0350757846008</v>
      </c>
      <c r="BC54" s="416">
        <f>(Data!AG50+Data!CT50)/BC$6*100000*BC$3</f>
        <v>4072.9879439556858</v>
      </c>
      <c r="BD54" s="416">
        <f>(Data!AH50+Data!CU50)/BD$6*100000*BD$3</f>
        <v>3872.426772409734</v>
      </c>
      <c r="BE54" s="411"/>
      <c r="BF54" s="411"/>
      <c r="BG54" s="411"/>
      <c r="BH54" s="411"/>
      <c r="BI54" s="411"/>
      <c r="BJ54" s="411"/>
      <c r="BK54" s="411"/>
      <c r="BL54" s="411"/>
      <c r="BM54" s="411"/>
      <c r="BN54" s="411"/>
      <c r="BO54" s="411"/>
      <c r="BP54" s="411"/>
      <c r="BQ54" s="411"/>
      <c r="BR54" s="411"/>
      <c r="BS54" s="411"/>
      <c r="BT54" s="411"/>
      <c r="BU54" s="411"/>
      <c r="BV54" s="411"/>
      <c r="BW54" s="411"/>
      <c r="BX54" s="411"/>
      <c r="BY54" s="411"/>
      <c r="BZ54" s="411"/>
      <c r="CA54" s="411"/>
      <c r="CB54" s="411"/>
      <c r="CC54" s="411"/>
      <c r="CD54" s="411"/>
      <c r="CE54" s="411"/>
      <c r="CF54" s="411"/>
      <c r="CG54" s="411"/>
      <c r="CH54" s="411"/>
      <c r="CI54" s="411"/>
      <c r="CJ54" s="411"/>
      <c r="CK54" s="411"/>
      <c r="CL54" s="411"/>
      <c r="CM54" s="411"/>
      <c r="CN54" s="411"/>
      <c r="CO54" s="411"/>
      <c r="CP54" s="411"/>
      <c r="CQ54" s="411"/>
      <c r="CR54" s="411"/>
      <c r="CS54" s="411"/>
      <c r="CT54" s="411"/>
      <c r="CU54" s="411"/>
      <c r="CV54" s="411"/>
      <c r="CW54" s="411"/>
      <c r="CX54" s="411"/>
      <c r="CY54" s="411"/>
      <c r="CZ54" s="411"/>
      <c r="DA54" s="411"/>
      <c r="DB54" s="411"/>
      <c r="DC54" s="411"/>
      <c r="DD54" s="411"/>
      <c r="DE54" s="411"/>
      <c r="DF54" s="411"/>
      <c r="DG54" s="411"/>
      <c r="DH54" s="411"/>
      <c r="DI54" s="411"/>
      <c r="DJ54" s="411"/>
      <c r="DK54" s="411"/>
      <c r="DL54" s="411"/>
      <c r="DM54" s="411"/>
      <c r="DN54" s="411"/>
      <c r="DO54" s="411"/>
      <c r="DP54" s="411"/>
      <c r="DQ54" s="411"/>
      <c r="DR54" s="411"/>
      <c r="DS54" s="411"/>
      <c r="DT54" s="411"/>
      <c r="DU54" s="411"/>
      <c r="DV54" s="411"/>
      <c r="DW54" s="411"/>
      <c r="DX54" s="411"/>
      <c r="DY54" s="411"/>
      <c r="DZ54" s="411"/>
      <c r="EA54" s="411"/>
      <c r="EB54" s="411"/>
      <c r="EC54" s="411"/>
      <c r="ED54" s="411"/>
      <c r="EE54" s="411"/>
      <c r="EF54" s="411"/>
      <c r="EG54" s="411"/>
    </row>
    <row r="55" spans="1:137" s="352" customFormat="1" ht="12" customHeight="1">
      <c r="A55" s="276"/>
      <c r="B55" s="283" t="str">
        <f>UPPER(LEFT(TRIM(Data!B51),1)) &amp; MID(TRIM(Data!B51),2,50)</f>
        <v>Limfinio ir kraujodaros audinių</v>
      </c>
      <c r="C55" s="283" t="str">
        <f>UPPER(LEFT(TRIM(Data!C51),1)) &amp; MID(TRIM(Data!C51),2,50)</f>
        <v>D45-D47</v>
      </c>
      <c r="D55" s="284">
        <f>Data!D51+Data!BQ51</f>
        <v>408</v>
      </c>
      <c r="E55" s="287">
        <f t="shared" si="5"/>
        <v>14.045185565129383</v>
      </c>
      <c r="F55" s="288">
        <f t="shared" si="6"/>
        <v>9.3599037639235316</v>
      </c>
      <c r="G55" s="286">
        <f t="shared" si="7"/>
        <v>6.5404964859698245</v>
      </c>
      <c r="H55" s="281"/>
      <c r="I55" s="281"/>
      <c r="J55" s="281"/>
      <c r="K55" s="281"/>
      <c r="L55" s="281"/>
      <c r="M55" s="281"/>
      <c r="N55" s="281"/>
      <c r="O55" s="277"/>
      <c r="P55" s="269"/>
      <c r="Q55" s="424" t="s">
        <v>353</v>
      </c>
      <c r="R55" s="416">
        <f t="shared" si="12"/>
        <v>935990.37639235309</v>
      </c>
      <c r="S55" s="416">
        <f>(Data!Q51+Data!CD51)/S$6*100000*S$3</f>
        <v>0</v>
      </c>
      <c r="T55" s="416">
        <f>(Data!R51+Data!CE51)/T$6*100000*T$3</f>
        <v>5022.2053221027254</v>
      </c>
      <c r="U55" s="416">
        <f>(Data!S51+Data!CF51)/U$6*100000*U$3</f>
        <v>5214.5411203814065</v>
      </c>
      <c r="V55" s="416">
        <f>(Data!T51+Data!CG51)/V$6*100000*V$3</f>
        <v>0</v>
      </c>
      <c r="W55" s="416">
        <f>(Data!U51+Data!CH51)/W$6*100000*W$3</f>
        <v>6947.3736446418388</v>
      </c>
      <c r="X55" s="416">
        <f>(Data!V51+Data!CI51)/X$6*100000*X$3</f>
        <v>10735.373054213635</v>
      </c>
      <c r="Y55" s="416">
        <f>(Data!W51+Data!CJ51)/Y$6*100000*Y$3</f>
        <v>35371.201104928943</v>
      </c>
      <c r="Z55" s="416">
        <f>(Data!X51+Data!CK51)/Z$6*100000*Z$3</f>
        <v>31754.67247323535</v>
      </c>
      <c r="AA55" s="416">
        <f>(Data!Y51+Data!CL51)/AA$6*100000*AA$3</f>
        <v>31861.307223919244</v>
      </c>
      <c r="AB55" s="416">
        <f>(Data!Z51+Data!CM51)/AB$6*100000*AB$3</f>
        <v>47156.192859205083</v>
      </c>
      <c r="AC55" s="416">
        <f>(Data!AA51+Data!CN51)/AC$6*100000*AC$3</f>
        <v>43518.419837294401</v>
      </c>
      <c r="AD55" s="416">
        <f>(Data!AB51+Data!CO51)/AD$6*100000*AD$3</f>
        <v>90039.814480465589</v>
      </c>
      <c r="AE55" s="416">
        <f>(Data!AC51+Data!CP51)/AE$6*100000*AE$3</f>
        <v>111346.17525887986</v>
      </c>
      <c r="AF55" s="416">
        <f>(Data!AD51+Data!CQ51)/AF$6*100000*AF$3</f>
        <v>126670.29237431072</v>
      </c>
      <c r="AG55" s="416">
        <f>(Data!AE51+Data!CR51)/AG$6*100000*AG$3</f>
        <v>145973.19263139489</v>
      </c>
      <c r="AH55" s="416">
        <f>(Data!AF51+Data!CS51)/AH$6*100000*AH$3</f>
        <v>109508.12600071346</v>
      </c>
      <c r="AI55" s="416">
        <f>(Data!AG51+Data!CT51)/AI$6*100000*AI$3</f>
        <v>65167.807103290972</v>
      </c>
      <c r="AJ55" s="416">
        <f>(Data!AH51+Data!CU51)/AJ$6*100000*AJ$3</f>
        <v>69703.681903375211</v>
      </c>
      <c r="AK55" s="424" t="s">
        <v>353</v>
      </c>
      <c r="AL55" s="416">
        <f t="shared" si="4"/>
        <v>654049.64859698247</v>
      </c>
      <c r="AM55" s="416">
        <f>(Data!Q51+Data!CD51)/AM$6*100000*AM$3</f>
        <v>0</v>
      </c>
      <c r="AN55" s="416">
        <f>(Data!R51+Data!CE51)/AN$6*100000*AN$3</f>
        <v>7174.579031575322</v>
      </c>
      <c r="AO55" s="416">
        <f>(Data!S51+Data!CF51)/AO$6*100000*AO$3</f>
        <v>6704.4100119189507</v>
      </c>
      <c r="AP55" s="416">
        <f>(Data!T51+Data!CG51)/AP$6*100000*AP$3</f>
        <v>0</v>
      </c>
      <c r="AQ55" s="416">
        <f>(Data!U51+Data!CH51)/AQ$6*100000*AQ$3</f>
        <v>7939.8555938763866</v>
      </c>
      <c r="AR55" s="416">
        <f>(Data!V51+Data!CI51)/AR$6*100000*AR$3</f>
        <v>12268.997776244154</v>
      </c>
      <c r="AS55" s="416">
        <f>(Data!W51+Data!CJ51)/AS$6*100000*AS$3</f>
        <v>30318.172375653383</v>
      </c>
      <c r="AT55" s="416">
        <f>(Data!X51+Data!CK51)/AT$6*100000*AT$3</f>
        <v>27218.290691344584</v>
      </c>
      <c r="AU55" s="416">
        <f>(Data!Y51+Data!CL51)/AU$6*100000*AU$3</f>
        <v>27309.691906216496</v>
      </c>
      <c r="AV55" s="416">
        <f>(Data!Z51+Data!CM51)/AV$6*100000*AV$3</f>
        <v>40419.593879318643</v>
      </c>
      <c r="AW55" s="416">
        <f>(Data!AA51+Data!CN51)/AW$6*100000*AW$3</f>
        <v>31084.585598067428</v>
      </c>
      <c r="AX55" s="416">
        <f>(Data!AB51+Data!CO51)/AX$6*100000*AX$3</f>
        <v>60026.542986977052</v>
      </c>
      <c r="AY55" s="416">
        <f>(Data!AC51+Data!CP51)/AY$6*100000*AY$3</f>
        <v>89076.940207103893</v>
      </c>
      <c r="AZ55" s="416">
        <f>(Data!AD51+Data!CQ51)/AZ$6*100000*AZ$3</f>
        <v>95002.719280733043</v>
      </c>
      <c r="BA55" s="416">
        <f>(Data!AE51+Data!CR51)/BA$6*100000*BA$3</f>
        <v>97315.461754263248</v>
      </c>
      <c r="BB55" s="416">
        <f>(Data!AF51+Data!CS51)/BB$6*100000*BB$3</f>
        <v>54754.063000356728</v>
      </c>
      <c r="BC55" s="416">
        <f>(Data!AG51+Data!CT51)/BC$6*100000*BC$3</f>
        <v>32583.903551645486</v>
      </c>
      <c r="BD55" s="416">
        <f>(Data!AH51+Data!CU51)/BD$6*100000*BD$3</f>
        <v>34851.840951687605</v>
      </c>
      <c r="BE55" s="411"/>
      <c r="BF55" s="411"/>
      <c r="BG55" s="411"/>
      <c r="BH55" s="411"/>
      <c r="BI55" s="411"/>
      <c r="BJ55" s="411"/>
      <c r="BK55" s="411"/>
      <c r="BL55" s="411"/>
      <c r="BM55" s="411"/>
      <c r="BN55" s="411"/>
      <c r="BO55" s="411"/>
      <c r="BP55" s="411"/>
      <c r="BQ55" s="411"/>
      <c r="BR55" s="411"/>
      <c r="BS55" s="411"/>
      <c r="BT55" s="411"/>
      <c r="BU55" s="411"/>
      <c r="BV55" s="411"/>
      <c r="BW55" s="411"/>
      <c r="BX55" s="411"/>
      <c r="BY55" s="411"/>
      <c r="BZ55" s="411"/>
      <c r="CA55" s="411"/>
      <c r="CB55" s="411"/>
      <c r="CC55" s="411"/>
      <c r="CD55" s="411"/>
      <c r="CE55" s="411"/>
      <c r="CF55" s="411"/>
      <c r="CG55" s="411"/>
      <c r="CH55" s="411"/>
      <c r="CI55" s="411"/>
      <c r="CJ55" s="411"/>
      <c r="CK55" s="411"/>
      <c r="CL55" s="411"/>
      <c r="CM55" s="411"/>
      <c r="CN55" s="411"/>
      <c r="CO55" s="411"/>
      <c r="CP55" s="411"/>
      <c r="CQ55" s="411"/>
      <c r="CR55" s="411"/>
      <c r="CS55" s="411"/>
      <c r="CT55" s="411"/>
      <c r="CU55" s="411"/>
      <c r="CV55" s="411"/>
      <c r="CW55" s="411"/>
      <c r="CX55" s="411"/>
      <c r="CY55" s="411"/>
      <c r="CZ55" s="411"/>
      <c r="DA55" s="411"/>
      <c r="DB55" s="411"/>
      <c r="DC55" s="411"/>
      <c r="DD55" s="411"/>
      <c r="DE55" s="411"/>
      <c r="DF55" s="411"/>
      <c r="DG55" s="411"/>
      <c r="DH55" s="411"/>
      <c r="DI55" s="411"/>
      <c r="DJ55" s="411"/>
      <c r="DK55" s="411"/>
      <c r="DL55" s="411"/>
      <c r="DM55" s="411"/>
      <c r="DN55" s="411"/>
      <c r="DO55" s="411"/>
      <c r="DP55" s="411"/>
      <c r="DQ55" s="411"/>
      <c r="DR55" s="411"/>
      <c r="DS55" s="411"/>
      <c r="DT55" s="411"/>
      <c r="DU55" s="411"/>
      <c r="DV55" s="411"/>
      <c r="DW55" s="411"/>
      <c r="DX55" s="411"/>
      <c r="DY55" s="411"/>
      <c r="DZ55" s="411"/>
      <c r="EA55" s="411"/>
      <c r="EB55" s="411"/>
      <c r="EC55" s="411"/>
      <c r="ED55" s="411"/>
      <c r="EE55" s="411"/>
      <c r="EF55" s="411"/>
      <c r="EG55" s="411"/>
    </row>
    <row r="56" spans="1:137" s="352" customFormat="1">
      <c r="A56" s="276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7"/>
      <c r="P56" s="269"/>
      <c r="Q56" s="414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AO56" s="414"/>
      <c r="AP56" s="414"/>
      <c r="AQ56" s="414"/>
      <c r="AR56" s="414"/>
      <c r="AS56" s="414"/>
      <c r="AT56" s="414"/>
      <c r="AU56" s="414"/>
      <c r="AV56" s="414"/>
      <c r="AW56" s="414"/>
      <c r="AX56" s="414"/>
      <c r="AY56" s="414"/>
      <c r="AZ56" s="414"/>
      <c r="BA56" s="414"/>
      <c r="BB56" s="414"/>
      <c r="BC56" s="414"/>
      <c r="BD56" s="414"/>
      <c r="BE56" s="411"/>
      <c r="BF56" s="411"/>
      <c r="BG56" s="411"/>
      <c r="BH56" s="411"/>
      <c r="BI56" s="411"/>
      <c r="BJ56" s="411"/>
      <c r="BK56" s="411"/>
      <c r="BL56" s="411"/>
      <c r="BM56" s="411"/>
      <c r="BN56" s="411"/>
      <c r="BO56" s="411"/>
      <c r="BP56" s="411"/>
      <c r="BQ56" s="411"/>
      <c r="BR56" s="411"/>
      <c r="BS56" s="411"/>
      <c r="BT56" s="411"/>
      <c r="BU56" s="411"/>
      <c r="BV56" s="411"/>
      <c r="BW56" s="411"/>
      <c r="BX56" s="411"/>
      <c r="BY56" s="411"/>
      <c r="BZ56" s="411"/>
      <c r="CA56" s="411"/>
      <c r="CB56" s="411"/>
      <c r="CC56" s="411"/>
      <c r="CD56" s="411"/>
      <c r="CE56" s="411"/>
      <c r="CF56" s="411"/>
      <c r="CG56" s="411"/>
      <c r="CH56" s="411"/>
      <c r="CI56" s="411"/>
      <c r="CJ56" s="411"/>
      <c r="CK56" s="411"/>
      <c r="CL56" s="411"/>
      <c r="CM56" s="411"/>
      <c r="CN56" s="411"/>
      <c r="CO56" s="411"/>
      <c r="CP56" s="411"/>
      <c r="CQ56" s="411"/>
      <c r="CR56" s="411"/>
      <c r="CS56" s="411"/>
      <c r="CT56" s="411"/>
      <c r="CU56" s="411"/>
      <c r="CV56" s="411"/>
      <c r="CW56" s="411"/>
      <c r="CX56" s="411"/>
      <c r="CY56" s="411"/>
      <c r="CZ56" s="411"/>
      <c r="DA56" s="411"/>
      <c r="DB56" s="411"/>
      <c r="DC56" s="411"/>
      <c r="DD56" s="411"/>
      <c r="DE56" s="411"/>
      <c r="DF56" s="411"/>
      <c r="DG56" s="411"/>
      <c r="DH56" s="411"/>
      <c r="DI56" s="411"/>
      <c r="DJ56" s="411"/>
      <c r="DK56" s="411"/>
      <c r="DL56" s="411"/>
      <c r="DM56" s="411"/>
      <c r="DN56" s="411"/>
      <c r="DO56" s="411"/>
      <c r="DP56" s="411"/>
      <c r="DQ56" s="411"/>
      <c r="DR56" s="411"/>
      <c r="DS56" s="411"/>
      <c r="DT56" s="411"/>
      <c r="DU56" s="411"/>
      <c r="DV56" s="411"/>
      <c r="DW56" s="411"/>
      <c r="DX56" s="411"/>
      <c r="DY56" s="411"/>
      <c r="DZ56" s="411"/>
      <c r="EA56" s="411"/>
      <c r="EB56" s="411"/>
      <c r="EC56" s="411"/>
      <c r="ED56" s="411"/>
      <c r="EE56" s="411"/>
      <c r="EF56" s="411"/>
      <c r="EG56" s="411"/>
    </row>
    <row r="57" spans="1:137" s="352" customFormat="1">
      <c r="A57" s="276"/>
      <c r="B57" s="276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7"/>
      <c r="P57" s="269"/>
      <c r="Q57" s="414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AO57" s="425"/>
      <c r="AP57" s="414"/>
      <c r="AQ57" s="414"/>
      <c r="AR57" s="414"/>
      <c r="AS57" s="414"/>
      <c r="AT57" s="414"/>
      <c r="AU57" s="414"/>
      <c r="AV57" s="414"/>
      <c r="AW57" s="414"/>
      <c r="AX57" s="414"/>
      <c r="AY57" s="414"/>
      <c r="AZ57" s="414"/>
      <c r="BA57" s="414"/>
      <c r="BB57" s="414"/>
      <c r="BC57" s="414"/>
      <c r="BD57" s="414"/>
      <c r="BE57" s="411"/>
      <c r="BF57" s="411"/>
      <c r="BG57" s="411"/>
      <c r="BH57" s="411"/>
      <c r="BI57" s="411"/>
      <c r="BJ57" s="411"/>
      <c r="BK57" s="411"/>
      <c r="BL57" s="411"/>
      <c r="BM57" s="411"/>
      <c r="BN57" s="411"/>
      <c r="BO57" s="411"/>
      <c r="BP57" s="411"/>
      <c r="BQ57" s="411"/>
      <c r="BR57" s="411"/>
      <c r="BS57" s="411"/>
      <c r="BT57" s="411"/>
      <c r="BU57" s="411"/>
      <c r="BV57" s="411"/>
      <c r="BW57" s="411"/>
      <c r="BX57" s="411"/>
      <c r="BY57" s="411"/>
      <c r="BZ57" s="411"/>
      <c r="CA57" s="411"/>
      <c r="CB57" s="411"/>
      <c r="CC57" s="411"/>
      <c r="CD57" s="411"/>
      <c r="CE57" s="411"/>
      <c r="CF57" s="411"/>
      <c r="CG57" s="411"/>
      <c r="CH57" s="411"/>
      <c r="CI57" s="411"/>
      <c r="CJ57" s="411"/>
      <c r="CK57" s="411"/>
      <c r="CL57" s="411"/>
      <c r="CM57" s="411"/>
      <c r="CN57" s="411"/>
      <c r="CO57" s="411"/>
      <c r="CP57" s="411"/>
      <c r="CQ57" s="411"/>
      <c r="CR57" s="411"/>
      <c r="CS57" s="411"/>
      <c r="CT57" s="411"/>
      <c r="CU57" s="411"/>
      <c r="CV57" s="411"/>
      <c r="CW57" s="411"/>
      <c r="CX57" s="411"/>
      <c r="CY57" s="411"/>
      <c r="CZ57" s="411"/>
      <c r="DA57" s="411"/>
      <c r="DB57" s="411"/>
      <c r="DC57" s="411"/>
      <c r="DD57" s="411"/>
      <c r="DE57" s="411"/>
      <c r="DF57" s="411"/>
      <c r="DG57" s="411"/>
      <c r="DH57" s="411"/>
      <c r="DI57" s="411"/>
      <c r="DJ57" s="411"/>
      <c r="DK57" s="411"/>
      <c r="DL57" s="411"/>
      <c r="DM57" s="411"/>
      <c r="DN57" s="411"/>
      <c r="DO57" s="411"/>
      <c r="DP57" s="411"/>
      <c r="DQ57" s="411"/>
      <c r="DR57" s="411"/>
      <c r="DS57" s="411"/>
      <c r="DT57" s="411"/>
      <c r="DU57" s="411"/>
      <c r="DV57" s="411"/>
      <c r="DW57" s="411"/>
      <c r="DX57" s="411"/>
      <c r="DY57" s="411"/>
      <c r="DZ57" s="411"/>
      <c r="EA57" s="411"/>
      <c r="EB57" s="411"/>
      <c r="EC57" s="411"/>
      <c r="ED57" s="411"/>
      <c r="EE57" s="411"/>
      <c r="EF57" s="411"/>
      <c r="EG57" s="411"/>
    </row>
    <row r="58" spans="1:137" s="352" customForma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269"/>
      <c r="P58" s="269"/>
      <c r="Q58" s="414" t="s">
        <v>408</v>
      </c>
      <c r="R58" s="416">
        <f>SUM(S58:AJ58)</f>
        <v>100000</v>
      </c>
      <c r="S58" s="417">
        <v>8000</v>
      </c>
      <c r="T58" s="417">
        <v>7000</v>
      </c>
      <c r="U58" s="417">
        <v>7000</v>
      </c>
      <c r="V58" s="417">
        <v>7000</v>
      </c>
      <c r="W58" s="417">
        <v>7000</v>
      </c>
      <c r="X58" s="417">
        <v>7000</v>
      </c>
      <c r="Y58" s="417">
        <v>7000</v>
      </c>
      <c r="Z58" s="417">
        <v>7000</v>
      </c>
      <c r="AA58" s="417">
        <v>7000</v>
      </c>
      <c r="AB58" s="417">
        <v>7000</v>
      </c>
      <c r="AC58" s="417">
        <v>7000</v>
      </c>
      <c r="AD58" s="417">
        <v>6000</v>
      </c>
      <c r="AE58" s="417">
        <v>5000</v>
      </c>
      <c r="AF58" s="417">
        <v>4000</v>
      </c>
      <c r="AG58" s="417">
        <v>3000</v>
      </c>
      <c r="AH58" s="417">
        <v>2000</v>
      </c>
      <c r="AI58" s="417">
        <v>1000</v>
      </c>
      <c r="AJ58" s="417">
        <v>1000</v>
      </c>
      <c r="AK58" s="414" t="s">
        <v>408</v>
      </c>
      <c r="AL58" s="416">
        <v>100000</v>
      </c>
      <c r="AM58" s="417">
        <v>8000</v>
      </c>
      <c r="AN58" s="417">
        <v>7000</v>
      </c>
      <c r="AO58" s="417">
        <v>7000</v>
      </c>
      <c r="AP58" s="417">
        <v>7000</v>
      </c>
      <c r="AQ58" s="417">
        <v>7000</v>
      </c>
      <c r="AR58" s="417">
        <v>7000</v>
      </c>
      <c r="AS58" s="417">
        <v>7000</v>
      </c>
      <c r="AT58" s="417">
        <v>7000</v>
      </c>
      <c r="AU58" s="417">
        <v>7000</v>
      </c>
      <c r="AV58" s="417">
        <v>7000</v>
      </c>
      <c r="AW58" s="417">
        <v>7000</v>
      </c>
      <c r="AX58" s="417">
        <v>6000</v>
      </c>
      <c r="AY58" s="417">
        <v>5000</v>
      </c>
      <c r="AZ58" s="417">
        <v>4000</v>
      </c>
      <c r="BA58" s="417">
        <v>3000</v>
      </c>
      <c r="BB58" s="417">
        <v>2000</v>
      </c>
      <c r="BC58" s="417">
        <v>1000</v>
      </c>
      <c r="BD58" s="417">
        <v>1000</v>
      </c>
      <c r="BE58" s="411"/>
      <c r="BF58" s="411"/>
      <c r="BG58" s="411"/>
      <c r="BH58" s="411"/>
      <c r="BI58" s="411"/>
      <c r="BJ58" s="411"/>
      <c r="BK58" s="411"/>
      <c r="BL58" s="411"/>
      <c r="BM58" s="411"/>
      <c r="BN58" s="411"/>
      <c r="BO58" s="411"/>
      <c r="BP58" s="411"/>
      <c r="BQ58" s="411"/>
      <c r="BR58" s="411"/>
      <c r="BS58" s="411"/>
      <c r="BT58" s="411"/>
      <c r="BU58" s="411"/>
      <c r="BV58" s="411"/>
      <c r="BW58" s="411"/>
      <c r="BX58" s="411"/>
      <c r="BY58" s="411"/>
      <c r="BZ58" s="411"/>
      <c r="CA58" s="411"/>
      <c r="CB58" s="411"/>
      <c r="CC58" s="411"/>
      <c r="CD58" s="411"/>
      <c r="CE58" s="411"/>
      <c r="CF58" s="411"/>
      <c r="CG58" s="411"/>
      <c r="CH58" s="411"/>
      <c r="CI58" s="411"/>
      <c r="CJ58" s="411"/>
      <c r="CK58" s="411"/>
      <c r="CL58" s="411"/>
      <c r="CM58" s="411"/>
      <c r="CN58" s="411"/>
      <c r="CO58" s="411"/>
      <c r="CP58" s="411"/>
      <c r="CQ58" s="411"/>
      <c r="CR58" s="411"/>
      <c r="CS58" s="411"/>
      <c r="CT58" s="411"/>
      <c r="CU58" s="411"/>
      <c r="CV58" s="411"/>
      <c r="CW58" s="411"/>
      <c r="CX58" s="411"/>
      <c r="CY58" s="411"/>
      <c r="CZ58" s="411"/>
      <c r="DA58" s="411"/>
      <c r="DB58" s="411"/>
      <c r="DC58" s="411"/>
      <c r="DD58" s="411"/>
      <c r="DE58" s="411"/>
      <c r="DF58" s="411"/>
      <c r="DG58" s="411"/>
      <c r="DH58" s="411"/>
      <c r="DI58" s="411"/>
      <c r="DJ58" s="411"/>
      <c r="DK58" s="411"/>
      <c r="DL58" s="411"/>
      <c r="DM58" s="411"/>
      <c r="DN58" s="411"/>
      <c r="DO58" s="411"/>
      <c r="DP58" s="411"/>
      <c r="DQ58" s="411"/>
      <c r="DR58" s="411"/>
      <c r="DS58" s="411"/>
      <c r="DT58" s="411"/>
      <c r="DU58" s="411"/>
      <c r="DV58" s="411"/>
      <c r="DW58" s="411"/>
      <c r="DX58" s="411"/>
      <c r="DY58" s="411"/>
      <c r="DZ58" s="411"/>
      <c r="EA58" s="411"/>
      <c r="EB58" s="411"/>
      <c r="EC58" s="411"/>
      <c r="ED58" s="411"/>
      <c r="EE58" s="411"/>
      <c r="EF58" s="411"/>
      <c r="EG58" s="411"/>
    </row>
    <row r="59" spans="1:137" s="352" customForma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269"/>
      <c r="P59" s="269"/>
      <c r="Q59" s="414" t="s">
        <v>409</v>
      </c>
      <c r="R59" s="414">
        <v>100000</v>
      </c>
      <c r="S59" s="414">
        <v>12000</v>
      </c>
      <c r="T59" s="414">
        <v>10000</v>
      </c>
      <c r="U59" s="414">
        <v>9000</v>
      </c>
      <c r="V59" s="414">
        <v>9000</v>
      </c>
      <c r="W59" s="414">
        <v>8000</v>
      </c>
      <c r="X59" s="414">
        <v>8000</v>
      </c>
      <c r="Y59" s="414">
        <v>6000</v>
      </c>
      <c r="Z59" s="414">
        <v>6000</v>
      </c>
      <c r="AA59" s="414">
        <v>6000</v>
      </c>
      <c r="AB59" s="414">
        <v>6000</v>
      </c>
      <c r="AC59" s="414">
        <v>5000</v>
      </c>
      <c r="AD59" s="414">
        <v>4000</v>
      </c>
      <c r="AE59" s="414">
        <v>4000</v>
      </c>
      <c r="AF59" s="414">
        <v>3000</v>
      </c>
      <c r="AG59" s="414">
        <v>2000</v>
      </c>
      <c r="AH59" s="414">
        <v>1000</v>
      </c>
      <c r="AI59" s="414">
        <v>500</v>
      </c>
      <c r="AJ59" s="414">
        <v>500</v>
      </c>
      <c r="AK59" s="414" t="s">
        <v>409</v>
      </c>
      <c r="AL59" s="414">
        <v>100000</v>
      </c>
      <c r="AM59" s="414">
        <v>12000</v>
      </c>
      <c r="AN59" s="414">
        <v>10000</v>
      </c>
      <c r="AO59" s="414">
        <v>9000</v>
      </c>
      <c r="AP59" s="414">
        <v>9000</v>
      </c>
      <c r="AQ59" s="414">
        <v>8000</v>
      </c>
      <c r="AR59" s="414">
        <v>8000</v>
      </c>
      <c r="AS59" s="414">
        <v>6000</v>
      </c>
      <c r="AT59" s="414">
        <v>6000</v>
      </c>
      <c r="AU59" s="414">
        <v>6000</v>
      </c>
      <c r="AV59" s="414">
        <v>6000</v>
      </c>
      <c r="AW59" s="414">
        <v>5000</v>
      </c>
      <c r="AX59" s="414">
        <v>4000</v>
      </c>
      <c r="AY59" s="414">
        <v>4000</v>
      </c>
      <c r="AZ59" s="414">
        <v>3000</v>
      </c>
      <c r="BA59" s="414">
        <v>2000</v>
      </c>
      <c r="BB59" s="414">
        <v>1000</v>
      </c>
      <c r="BC59" s="414">
        <v>500</v>
      </c>
      <c r="BD59" s="414">
        <v>500</v>
      </c>
      <c r="BE59" s="411"/>
      <c r="BF59" s="411"/>
      <c r="BG59" s="411"/>
      <c r="BH59" s="411"/>
      <c r="BI59" s="411"/>
      <c r="BJ59" s="411"/>
      <c r="BK59" s="411"/>
      <c r="BL59" s="411"/>
      <c r="BM59" s="411"/>
      <c r="BN59" s="411"/>
      <c r="BO59" s="411"/>
      <c r="BP59" s="411"/>
      <c r="BQ59" s="411"/>
      <c r="BR59" s="411"/>
      <c r="BS59" s="411"/>
      <c r="BT59" s="411"/>
      <c r="BU59" s="411"/>
      <c r="BV59" s="411"/>
      <c r="BW59" s="411"/>
      <c r="BX59" s="411"/>
      <c r="BY59" s="411"/>
      <c r="BZ59" s="411"/>
      <c r="CA59" s="411"/>
      <c r="CB59" s="411"/>
      <c r="CC59" s="411"/>
      <c r="CD59" s="411"/>
      <c r="CE59" s="411"/>
      <c r="CF59" s="411"/>
      <c r="CG59" s="411"/>
      <c r="CH59" s="411"/>
      <c r="CI59" s="411"/>
      <c r="CJ59" s="411"/>
      <c r="CK59" s="411"/>
      <c r="CL59" s="411"/>
      <c r="CM59" s="411"/>
      <c r="CN59" s="411"/>
      <c r="CO59" s="411"/>
      <c r="CP59" s="411"/>
      <c r="CQ59" s="411"/>
      <c r="CR59" s="411"/>
      <c r="CS59" s="411"/>
      <c r="CT59" s="411"/>
      <c r="CU59" s="411"/>
      <c r="CV59" s="411"/>
      <c r="CW59" s="411"/>
      <c r="CX59" s="411"/>
      <c r="CY59" s="411"/>
      <c r="CZ59" s="411"/>
      <c r="DA59" s="411"/>
      <c r="DB59" s="411"/>
      <c r="DC59" s="411"/>
      <c r="DD59" s="411"/>
      <c r="DE59" s="411"/>
      <c r="DF59" s="411"/>
      <c r="DG59" s="411"/>
      <c r="DH59" s="411"/>
      <c r="DI59" s="411"/>
      <c r="DJ59" s="411"/>
      <c r="DK59" s="411"/>
      <c r="DL59" s="411"/>
      <c r="DM59" s="411"/>
      <c r="DN59" s="411"/>
      <c r="DO59" s="411"/>
      <c r="DP59" s="411"/>
      <c r="DQ59" s="411"/>
      <c r="DR59" s="411"/>
      <c r="DS59" s="411"/>
      <c r="DT59" s="411"/>
      <c r="DU59" s="411"/>
      <c r="DV59" s="411"/>
      <c r="DW59" s="411"/>
      <c r="DX59" s="411"/>
      <c r="DY59" s="411"/>
      <c r="DZ59" s="411"/>
      <c r="EA59" s="411"/>
      <c r="EB59" s="411"/>
      <c r="EC59" s="411"/>
      <c r="ED59" s="411"/>
      <c r="EE59" s="411"/>
      <c r="EF59" s="411"/>
      <c r="EG59" s="411"/>
    </row>
    <row r="60" spans="1:137" s="352" customForma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269"/>
      <c r="P60" s="269"/>
      <c r="Q60" s="411"/>
      <c r="R60" s="411"/>
      <c r="S60" s="411"/>
      <c r="T60" s="411"/>
      <c r="U60" s="411"/>
      <c r="V60" s="411"/>
      <c r="W60" s="411"/>
      <c r="X60" s="411"/>
      <c r="Y60" s="411"/>
      <c r="Z60" s="411"/>
      <c r="AA60" s="411"/>
      <c r="AB60" s="411"/>
      <c r="AC60" s="411"/>
      <c r="AD60" s="411"/>
      <c r="AE60" s="411"/>
      <c r="AF60" s="411"/>
      <c r="AG60" s="411"/>
      <c r="AH60" s="411"/>
      <c r="AI60" s="411"/>
      <c r="AJ60" s="411"/>
      <c r="AK60" s="411"/>
      <c r="AL60" s="411"/>
      <c r="AM60" s="411"/>
      <c r="AN60" s="411"/>
      <c r="AO60" s="411"/>
      <c r="AP60" s="411"/>
      <c r="AQ60" s="411"/>
      <c r="AR60" s="411"/>
      <c r="AS60" s="411"/>
      <c r="AT60" s="411"/>
      <c r="AU60" s="411"/>
      <c r="AV60" s="411"/>
      <c r="AW60" s="411"/>
      <c r="AX60" s="411"/>
      <c r="AY60" s="411"/>
      <c r="AZ60" s="411"/>
      <c r="BA60" s="411"/>
      <c r="BB60" s="411"/>
      <c r="BC60" s="411"/>
      <c r="BD60" s="411"/>
      <c r="BE60" s="411"/>
      <c r="BF60" s="411"/>
      <c r="BG60" s="411"/>
      <c r="BH60" s="411"/>
      <c r="BI60" s="411"/>
      <c r="BJ60" s="411"/>
      <c r="BK60" s="411"/>
      <c r="BL60" s="411"/>
      <c r="BM60" s="411"/>
      <c r="BN60" s="411"/>
      <c r="BO60" s="411"/>
      <c r="BP60" s="411"/>
      <c r="BQ60" s="411"/>
      <c r="BR60" s="411"/>
      <c r="BS60" s="411"/>
      <c r="BT60" s="411"/>
      <c r="BU60" s="411"/>
      <c r="BV60" s="411"/>
      <c r="BW60" s="411"/>
      <c r="BX60" s="411"/>
      <c r="BY60" s="411"/>
      <c r="BZ60" s="411"/>
      <c r="CA60" s="411"/>
      <c r="CB60" s="411"/>
      <c r="CC60" s="411"/>
      <c r="CD60" s="411"/>
      <c r="CE60" s="411"/>
      <c r="CF60" s="411"/>
      <c r="CG60" s="411"/>
      <c r="CH60" s="411"/>
      <c r="CI60" s="411"/>
      <c r="CJ60" s="411"/>
      <c r="CK60" s="411"/>
      <c r="CL60" s="411"/>
      <c r="CM60" s="411"/>
      <c r="CN60" s="411"/>
      <c r="CO60" s="411"/>
      <c r="CP60" s="411"/>
      <c r="CQ60" s="411"/>
      <c r="CR60" s="411"/>
      <c r="CS60" s="411"/>
      <c r="CT60" s="411"/>
      <c r="CU60" s="411"/>
      <c r="CV60" s="411"/>
      <c r="CW60" s="411"/>
      <c r="CX60" s="411"/>
      <c r="CY60" s="411"/>
      <c r="CZ60" s="411"/>
      <c r="DA60" s="411"/>
      <c r="DB60" s="411"/>
      <c r="DC60" s="411"/>
      <c r="DD60" s="411"/>
      <c r="DE60" s="411"/>
      <c r="DF60" s="411"/>
      <c r="DG60" s="411"/>
      <c r="DH60" s="411"/>
      <c r="DI60" s="411"/>
      <c r="DJ60" s="411"/>
      <c r="DK60" s="411"/>
      <c r="DL60" s="411"/>
      <c r="DM60" s="411"/>
      <c r="DN60" s="411"/>
      <c r="DO60" s="411"/>
      <c r="DP60" s="411"/>
      <c r="DQ60" s="411"/>
      <c r="DR60" s="411"/>
      <c r="DS60" s="411"/>
      <c r="DT60" s="411"/>
      <c r="DU60" s="411"/>
      <c r="DV60" s="411"/>
      <c r="DW60" s="411"/>
      <c r="DX60" s="411"/>
      <c r="DY60" s="411"/>
      <c r="DZ60" s="411"/>
      <c r="EA60" s="411"/>
      <c r="EB60" s="411"/>
      <c r="EC60" s="411"/>
      <c r="ED60" s="411"/>
      <c r="EE60" s="411"/>
      <c r="EF60" s="411"/>
      <c r="EG60" s="411"/>
    </row>
    <row r="61" spans="1:137">
      <c r="Q61" s="426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  <c r="AC61" s="426"/>
      <c r="AD61" s="426"/>
      <c r="AE61" s="426"/>
      <c r="AF61" s="426"/>
      <c r="AG61" s="426"/>
      <c r="AH61" s="426"/>
      <c r="AI61" s="426"/>
      <c r="AJ61" s="426"/>
      <c r="AK61" s="426"/>
      <c r="AL61" s="426"/>
      <c r="AM61" s="426"/>
      <c r="AN61" s="426"/>
      <c r="AO61" s="426"/>
      <c r="AP61" s="426"/>
      <c r="AQ61" s="426"/>
      <c r="AR61" s="426"/>
      <c r="AS61" s="426"/>
      <c r="AT61" s="426"/>
      <c r="AU61" s="426"/>
      <c r="AV61" s="426"/>
      <c r="AW61" s="426"/>
      <c r="AX61" s="426"/>
      <c r="AY61" s="426"/>
      <c r="AZ61" s="426"/>
      <c r="BA61" s="426"/>
      <c r="BB61" s="426"/>
      <c r="BC61" s="426"/>
      <c r="BD61" s="426"/>
      <c r="BE61" s="426"/>
      <c r="BF61" s="426"/>
      <c r="BG61" s="426"/>
      <c r="BH61" s="426"/>
      <c r="BI61" s="426"/>
      <c r="BJ61" s="426"/>
      <c r="BK61" s="426"/>
      <c r="BL61" s="426"/>
      <c r="BM61" s="426"/>
      <c r="BN61" s="426"/>
      <c r="BO61" s="426"/>
      <c r="BP61" s="426"/>
      <c r="BQ61" s="426"/>
      <c r="BR61" s="426"/>
      <c r="BS61" s="426"/>
      <c r="BT61" s="426"/>
      <c r="BU61" s="426"/>
      <c r="BV61" s="426"/>
      <c r="BW61" s="426"/>
      <c r="BX61" s="426"/>
      <c r="BY61" s="426"/>
      <c r="BZ61" s="426"/>
      <c r="CA61" s="426"/>
      <c r="CB61" s="426"/>
      <c r="CC61" s="426"/>
      <c r="CD61" s="426"/>
      <c r="CE61" s="426"/>
      <c r="CF61" s="426"/>
      <c r="CG61" s="426"/>
      <c r="CH61" s="426"/>
      <c r="CI61" s="426"/>
      <c r="CJ61" s="426"/>
      <c r="CK61" s="426"/>
      <c r="CL61" s="426"/>
      <c r="CM61" s="426"/>
      <c r="CN61" s="426"/>
      <c r="CO61" s="426"/>
      <c r="CP61" s="426"/>
      <c r="CQ61" s="426"/>
      <c r="CR61" s="426"/>
      <c r="CS61" s="426"/>
      <c r="CT61" s="426"/>
      <c r="CU61" s="426"/>
      <c r="CV61" s="426"/>
      <c r="CW61" s="426"/>
      <c r="CX61" s="426"/>
      <c r="CY61" s="426"/>
      <c r="CZ61" s="426"/>
      <c r="DA61" s="426"/>
      <c r="DB61" s="426"/>
      <c r="DC61" s="426"/>
      <c r="DD61" s="426"/>
      <c r="DE61" s="426"/>
      <c r="DF61" s="426"/>
      <c r="DG61" s="426"/>
      <c r="DH61" s="426"/>
      <c r="DI61" s="426"/>
      <c r="DJ61" s="426"/>
      <c r="DK61" s="426"/>
      <c r="DL61" s="426"/>
      <c r="DM61" s="426"/>
      <c r="DN61" s="426"/>
      <c r="DO61" s="426"/>
      <c r="DP61" s="426"/>
      <c r="DQ61" s="426"/>
      <c r="DR61" s="426"/>
      <c r="DS61" s="426"/>
      <c r="DT61" s="426"/>
      <c r="DU61" s="426"/>
      <c r="DV61" s="426"/>
      <c r="DW61" s="426"/>
      <c r="DX61" s="426"/>
      <c r="DY61" s="426"/>
      <c r="DZ61" s="426"/>
      <c r="EA61" s="426"/>
      <c r="EB61" s="426"/>
      <c r="EC61" s="426"/>
      <c r="ED61" s="426"/>
      <c r="EE61" s="426"/>
      <c r="EF61" s="426"/>
      <c r="EG61" s="426"/>
    </row>
    <row r="62" spans="1:137">
      <c r="Q62" s="426"/>
      <c r="R62" s="426"/>
      <c r="S62" s="426"/>
      <c r="T62" s="426"/>
      <c r="U62" s="426"/>
      <c r="V62" s="426"/>
      <c r="W62" s="426"/>
      <c r="X62" s="426"/>
      <c r="Y62" s="426"/>
      <c r="Z62" s="426"/>
      <c r="AA62" s="426"/>
      <c r="AB62" s="426"/>
      <c r="AC62" s="426"/>
      <c r="AD62" s="426"/>
      <c r="AE62" s="426"/>
      <c r="AF62" s="426"/>
      <c r="AG62" s="426"/>
      <c r="AH62" s="426"/>
      <c r="AI62" s="426"/>
      <c r="AJ62" s="426"/>
      <c r="AK62" s="426"/>
      <c r="AL62" s="426"/>
      <c r="AM62" s="426"/>
      <c r="AN62" s="426"/>
      <c r="AO62" s="426"/>
      <c r="AP62" s="426"/>
      <c r="AQ62" s="426"/>
      <c r="AR62" s="426"/>
      <c r="AS62" s="426"/>
      <c r="AT62" s="426"/>
      <c r="AU62" s="426"/>
      <c r="AV62" s="426"/>
      <c r="AW62" s="426"/>
      <c r="AX62" s="426"/>
      <c r="AY62" s="426"/>
      <c r="AZ62" s="426"/>
      <c r="BA62" s="426"/>
      <c r="BB62" s="426"/>
      <c r="BC62" s="426"/>
      <c r="BD62" s="426"/>
      <c r="BE62" s="426"/>
      <c r="BF62" s="426"/>
      <c r="BG62" s="426"/>
      <c r="BH62" s="426"/>
      <c r="BI62" s="426"/>
      <c r="BJ62" s="426"/>
      <c r="BK62" s="426"/>
      <c r="BL62" s="426"/>
      <c r="BM62" s="426"/>
      <c r="BN62" s="426"/>
      <c r="BO62" s="426"/>
      <c r="BP62" s="426"/>
      <c r="BQ62" s="426"/>
      <c r="BR62" s="426"/>
      <c r="BS62" s="426"/>
      <c r="BT62" s="426"/>
      <c r="BU62" s="426"/>
      <c r="BV62" s="426"/>
      <c r="BW62" s="426"/>
      <c r="BX62" s="426"/>
      <c r="BY62" s="426"/>
      <c r="BZ62" s="426"/>
      <c r="CA62" s="426"/>
      <c r="CB62" s="426"/>
      <c r="CC62" s="426"/>
      <c r="CD62" s="426"/>
      <c r="CE62" s="426"/>
      <c r="CF62" s="426"/>
      <c r="CG62" s="426"/>
      <c r="CH62" s="426"/>
      <c r="CI62" s="426"/>
      <c r="CJ62" s="426"/>
      <c r="CK62" s="426"/>
      <c r="CL62" s="426"/>
      <c r="CM62" s="426"/>
      <c r="CN62" s="426"/>
      <c r="CO62" s="426"/>
      <c r="CP62" s="426"/>
      <c r="CQ62" s="426"/>
      <c r="CR62" s="426"/>
      <c r="CS62" s="426"/>
      <c r="CT62" s="426"/>
      <c r="CU62" s="426"/>
      <c r="CV62" s="426"/>
      <c r="CW62" s="426"/>
      <c r="CX62" s="426"/>
      <c r="CY62" s="426"/>
      <c r="CZ62" s="426"/>
      <c r="DA62" s="426"/>
      <c r="DB62" s="426"/>
      <c r="DC62" s="426"/>
      <c r="DD62" s="426"/>
      <c r="DE62" s="426"/>
      <c r="DF62" s="426"/>
      <c r="DG62" s="426"/>
      <c r="DH62" s="426"/>
      <c r="DI62" s="426"/>
      <c r="DJ62" s="426"/>
      <c r="DK62" s="426"/>
      <c r="DL62" s="426"/>
      <c r="DM62" s="426"/>
      <c r="DN62" s="426"/>
      <c r="DO62" s="426"/>
      <c r="DP62" s="426"/>
      <c r="DQ62" s="426"/>
      <c r="DR62" s="426"/>
      <c r="DS62" s="426"/>
      <c r="DT62" s="426"/>
      <c r="DU62" s="426"/>
      <c r="DV62" s="426"/>
      <c r="DW62" s="426"/>
      <c r="DX62" s="426"/>
      <c r="DY62" s="426"/>
      <c r="DZ62" s="426"/>
      <c r="EA62" s="426"/>
      <c r="EB62" s="426"/>
      <c r="EC62" s="426"/>
      <c r="ED62" s="426"/>
      <c r="EE62" s="426"/>
      <c r="EF62" s="426"/>
      <c r="EG62" s="426"/>
    </row>
    <row r="63" spans="1:137">
      <c r="Q63" s="426"/>
      <c r="R63" s="426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426"/>
      <c r="AD63" s="426"/>
      <c r="AE63" s="426"/>
      <c r="AF63" s="426"/>
      <c r="AG63" s="426"/>
      <c r="AH63" s="426"/>
      <c r="AI63" s="426"/>
      <c r="AJ63" s="426"/>
      <c r="AK63" s="426"/>
      <c r="AL63" s="426"/>
      <c r="AM63" s="426"/>
      <c r="AN63" s="426"/>
      <c r="AO63" s="426"/>
      <c r="AP63" s="426"/>
      <c r="AQ63" s="426"/>
      <c r="AR63" s="426"/>
      <c r="AS63" s="426"/>
      <c r="AT63" s="426"/>
      <c r="AU63" s="426"/>
      <c r="AV63" s="426"/>
      <c r="AW63" s="426"/>
      <c r="AX63" s="426"/>
      <c r="AY63" s="426"/>
      <c r="AZ63" s="426"/>
      <c r="BA63" s="426"/>
      <c r="BB63" s="426"/>
      <c r="BC63" s="426"/>
      <c r="BD63" s="426"/>
      <c r="BE63" s="426"/>
      <c r="BF63" s="426"/>
      <c r="BG63" s="426"/>
      <c r="BH63" s="426"/>
      <c r="BI63" s="426"/>
      <c r="BJ63" s="426"/>
      <c r="BK63" s="426"/>
      <c r="BL63" s="426"/>
      <c r="BM63" s="426"/>
      <c r="BN63" s="426"/>
      <c r="BO63" s="426"/>
      <c r="BP63" s="426"/>
      <c r="BQ63" s="426"/>
      <c r="BR63" s="426"/>
      <c r="BS63" s="426"/>
      <c r="BT63" s="426"/>
      <c r="BU63" s="426"/>
      <c r="BV63" s="426"/>
      <c r="BW63" s="426"/>
      <c r="BX63" s="426"/>
      <c r="BY63" s="426"/>
      <c r="BZ63" s="426"/>
      <c r="CA63" s="426"/>
      <c r="CB63" s="426"/>
      <c r="CC63" s="426"/>
      <c r="CD63" s="426"/>
      <c r="CE63" s="426"/>
      <c r="CF63" s="426"/>
      <c r="CG63" s="426"/>
      <c r="CH63" s="426"/>
      <c r="CI63" s="426"/>
      <c r="CJ63" s="426"/>
      <c r="CK63" s="426"/>
      <c r="CL63" s="426"/>
      <c r="CM63" s="426"/>
      <c r="CN63" s="426"/>
      <c r="CO63" s="426"/>
      <c r="CP63" s="426"/>
      <c r="CQ63" s="426"/>
      <c r="CR63" s="426"/>
      <c r="CS63" s="426"/>
      <c r="CT63" s="426"/>
      <c r="CU63" s="426"/>
      <c r="CV63" s="426"/>
      <c r="CW63" s="426"/>
      <c r="CX63" s="426"/>
      <c r="CY63" s="426"/>
      <c r="CZ63" s="426"/>
      <c r="DA63" s="426"/>
      <c r="DB63" s="426"/>
      <c r="DC63" s="426"/>
      <c r="DD63" s="426"/>
      <c r="DE63" s="426"/>
      <c r="DF63" s="426"/>
      <c r="DG63" s="426"/>
      <c r="DH63" s="426"/>
      <c r="DI63" s="426"/>
      <c r="DJ63" s="426"/>
      <c r="DK63" s="426"/>
      <c r="DL63" s="426"/>
      <c r="DM63" s="426"/>
      <c r="DN63" s="426"/>
      <c r="DO63" s="426"/>
      <c r="DP63" s="426"/>
      <c r="DQ63" s="426"/>
      <c r="DR63" s="426"/>
      <c r="DS63" s="426"/>
      <c r="DT63" s="426"/>
      <c r="DU63" s="426"/>
      <c r="DV63" s="426"/>
      <c r="DW63" s="426"/>
      <c r="DX63" s="426"/>
      <c r="DY63" s="426"/>
      <c r="DZ63" s="426"/>
      <c r="EA63" s="426"/>
      <c r="EB63" s="426"/>
      <c r="EC63" s="426"/>
      <c r="ED63" s="426"/>
      <c r="EE63" s="426"/>
      <c r="EF63" s="426"/>
      <c r="EG63" s="426"/>
    </row>
    <row r="64" spans="1:137">
      <c r="Q64" s="42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M64" s="426"/>
      <c r="AN64" s="426"/>
      <c r="AO64" s="426"/>
      <c r="AP64" s="426"/>
      <c r="AQ64" s="426"/>
      <c r="AR64" s="426"/>
      <c r="AS64" s="426"/>
      <c r="AT64" s="426"/>
      <c r="AU64" s="426"/>
      <c r="AV64" s="426"/>
      <c r="AW64" s="426"/>
      <c r="AX64" s="426"/>
      <c r="AY64" s="426"/>
      <c r="AZ64" s="426"/>
      <c r="BA64" s="426"/>
      <c r="BB64" s="426"/>
      <c r="BC64" s="426"/>
      <c r="BD64" s="426"/>
      <c r="BE64" s="426"/>
      <c r="BF64" s="426"/>
      <c r="BG64" s="426"/>
      <c r="BH64" s="426"/>
      <c r="BI64" s="426"/>
      <c r="BJ64" s="426"/>
      <c r="BK64" s="426"/>
      <c r="BL64" s="426"/>
      <c r="BM64" s="426"/>
      <c r="BN64" s="426"/>
      <c r="BO64" s="426"/>
      <c r="BP64" s="426"/>
      <c r="BQ64" s="426"/>
      <c r="BR64" s="426"/>
      <c r="BS64" s="426"/>
      <c r="BT64" s="426"/>
      <c r="BU64" s="426"/>
      <c r="BV64" s="426"/>
      <c r="BW64" s="426"/>
      <c r="BX64" s="426"/>
      <c r="BY64" s="426"/>
      <c r="BZ64" s="426"/>
      <c r="CA64" s="426"/>
      <c r="CB64" s="426"/>
      <c r="CC64" s="426"/>
      <c r="CD64" s="426"/>
      <c r="CE64" s="426"/>
      <c r="CF64" s="426"/>
      <c r="CG64" s="426"/>
      <c r="CH64" s="426"/>
      <c r="CI64" s="426"/>
      <c r="CJ64" s="426"/>
      <c r="CK64" s="426"/>
      <c r="CL64" s="426"/>
      <c r="CM64" s="426"/>
      <c r="CN64" s="426"/>
      <c r="CO64" s="426"/>
      <c r="CP64" s="426"/>
      <c r="CQ64" s="426"/>
      <c r="CR64" s="426"/>
      <c r="CS64" s="426"/>
      <c r="CT64" s="426"/>
      <c r="CU64" s="426"/>
      <c r="CV64" s="426"/>
      <c r="CW64" s="426"/>
      <c r="CX64" s="426"/>
      <c r="CY64" s="426"/>
      <c r="CZ64" s="426"/>
      <c r="DA64" s="426"/>
      <c r="DB64" s="426"/>
      <c r="DC64" s="426"/>
      <c r="DD64" s="426"/>
      <c r="DE64" s="426"/>
      <c r="DF64" s="426"/>
      <c r="DG64" s="426"/>
      <c r="DH64" s="426"/>
      <c r="DI64" s="426"/>
      <c r="DJ64" s="426"/>
      <c r="DK64" s="426"/>
      <c r="DL64" s="426"/>
      <c r="DM64" s="426"/>
      <c r="DN64" s="426"/>
      <c r="DO64" s="426"/>
      <c r="DP64" s="426"/>
      <c r="DQ64" s="426"/>
      <c r="DR64" s="426"/>
      <c r="DS64" s="426"/>
      <c r="DT64" s="426"/>
      <c r="DU64" s="426"/>
      <c r="DV64" s="426"/>
      <c r="DW64" s="426"/>
      <c r="DX64" s="426"/>
      <c r="DY64" s="426"/>
      <c r="DZ64" s="426"/>
      <c r="EA64" s="426"/>
      <c r="EB64" s="426"/>
      <c r="EC64" s="426"/>
      <c r="ED64" s="426"/>
      <c r="EE64" s="426"/>
      <c r="EF64" s="426"/>
      <c r="EG64" s="426"/>
    </row>
    <row r="65" spans="17:137">
      <c r="Q65" s="426"/>
      <c r="R65" s="426"/>
      <c r="S65" s="426"/>
      <c r="T65" s="426"/>
      <c r="U65" s="426"/>
      <c r="V65" s="426"/>
      <c r="W65" s="426"/>
      <c r="X65" s="426"/>
      <c r="Y65" s="426"/>
      <c r="Z65" s="426"/>
      <c r="AA65" s="426"/>
      <c r="AB65" s="426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  <c r="AT65" s="426"/>
      <c r="AU65" s="426"/>
      <c r="AV65" s="426"/>
      <c r="AW65" s="426"/>
      <c r="AX65" s="426"/>
      <c r="AY65" s="426"/>
      <c r="AZ65" s="426"/>
      <c r="BA65" s="426"/>
      <c r="BB65" s="426"/>
      <c r="BC65" s="426"/>
      <c r="BD65" s="426"/>
      <c r="BE65" s="426"/>
      <c r="BF65" s="426"/>
      <c r="BG65" s="426"/>
      <c r="BH65" s="426"/>
      <c r="BI65" s="426"/>
      <c r="BJ65" s="426"/>
      <c r="BK65" s="426"/>
      <c r="BL65" s="426"/>
      <c r="BM65" s="426"/>
      <c r="BN65" s="426"/>
      <c r="BO65" s="426"/>
      <c r="BP65" s="426"/>
      <c r="BQ65" s="426"/>
      <c r="BR65" s="426"/>
      <c r="BS65" s="426"/>
      <c r="BT65" s="426"/>
      <c r="BU65" s="426"/>
      <c r="BV65" s="426"/>
      <c r="BW65" s="426"/>
      <c r="BX65" s="426"/>
      <c r="BY65" s="426"/>
      <c r="BZ65" s="426"/>
      <c r="CA65" s="426"/>
      <c r="CB65" s="426"/>
      <c r="CC65" s="426"/>
      <c r="CD65" s="426"/>
      <c r="CE65" s="426"/>
      <c r="CF65" s="426"/>
      <c r="CG65" s="426"/>
      <c r="CH65" s="426"/>
      <c r="CI65" s="426"/>
      <c r="CJ65" s="426"/>
      <c r="CK65" s="426"/>
      <c r="CL65" s="426"/>
      <c r="CM65" s="426"/>
      <c r="CN65" s="426"/>
      <c r="CO65" s="426"/>
      <c r="CP65" s="426"/>
      <c r="CQ65" s="426"/>
      <c r="CR65" s="426"/>
      <c r="CS65" s="426"/>
      <c r="CT65" s="426"/>
      <c r="CU65" s="426"/>
      <c r="CV65" s="426"/>
      <c r="CW65" s="426"/>
      <c r="CX65" s="426"/>
      <c r="CY65" s="426"/>
      <c r="CZ65" s="426"/>
      <c r="DA65" s="426"/>
      <c r="DB65" s="426"/>
      <c r="DC65" s="426"/>
      <c r="DD65" s="426"/>
      <c r="DE65" s="426"/>
      <c r="DF65" s="426"/>
      <c r="DG65" s="426"/>
      <c r="DH65" s="426"/>
      <c r="DI65" s="426"/>
      <c r="DJ65" s="426"/>
      <c r="DK65" s="426"/>
      <c r="DL65" s="426"/>
      <c r="DM65" s="426"/>
      <c r="DN65" s="426"/>
      <c r="DO65" s="426"/>
      <c r="DP65" s="426"/>
      <c r="DQ65" s="426"/>
      <c r="DR65" s="426"/>
      <c r="DS65" s="426"/>
      <c r="DT65" s="426"/>
      <c r="DU65" s="426"/>
      <c r="DV65" s="426"/>
      <c r="DW65" s="426"/>
      <c r="DX65" s="426"/>
      <c r="DY65" s="426"/>
      <c r="DZ65" s="426"/>
      <c r="EA65" s="426"/>
      <c r="EB65" s="426"/>
      <c r="EC65" s="426"/>
      <c r="ED65" s="426"/>
      <c r="EE65" s="426"/>
      <c r="EF65" s="426"/>
      <c r="EG65" s="426"/>
    </row>
    <row r="66" spans="17:137">
      <c r="Q66" s="426"/>
      <c r="R66" s="426"/>
      <c r="S66" s="426"/>
      <c r="T66" s="426"/>
      <c r="U66" s="426"/>
      <c r="V66" s="426"/>
      <c r="W66" s="426"/>
      <c r="X66" s="426"/>
      <c r="Y66" s="426"/>
      <c r="Z66" s="426"/>
      <c r="AA66" s="426"/>
      <c r="AB66" s="426"/>
      <c r="AC66" s="426"/>
      <c r="AD66" s="426"/>
      <c r="AE66" s="426"/>
      <c r="AF66" s="426"/>
      <c r="AG66" s="426"/>
      <c r="AH66" s="426"/>
      <c r="AI66" s="426"/>
      <c r="AJ66" s="426"/>
      <c r="AK66" s="426"/>
      <c r="AL66" s="426"/>
      <c r="AM66" s="426"/>
      <c r="AN66" s="426"/>
      <c r="AO66" s="426"/>
      <c r="AP66" s="426"/>
      <c r="AQ66" s="426"/>
      <c r="AR66" s="426"/>
      <c r="AS66" s="426"/>
      <c r="AT66" s="426"/>
      <c r="AU66" s="426"/>
      <c r="AV66" s="426"/>
      <c r="AW66" s="426"/>
      <c r="AX66" s="426"/>
      <c r="AY66" s="426"/>
      <c r="AZ66" s="426"/>
      <c r="BA66" s="426"/>
      <c r="BB66" s="426"/>
      <c r="BC66" s="426"/>
      <c r="BD66" s="426"/>
      <c r="BE66" s="426"/>
      <c r="BF66" s="426"/>
      <c r="BG66" s="426"/>
      <c r="BH66" s="426"/>
      <c r="BI66" s="426"/>
      <c r="BJ66" s="426"/>
      <c r="BK66" s="426"/>
      <c r="BL66" s="426"/>
      <c r="BM66" s="426"/>
      <c r="BN66" s="426"/>
      <c r="BO66" s="426"/>
      <c r="BP66" s="426"/>
      <c r="BQ66" s="426"/>
      <c r="BR66" s="426"/>
      <c r="BS66" s="426"/>
      <c r="BT66" s="426"/>
      <c r="BU66" s="426"/>
      <c r="BV66" s="426"/>
      <c r="BW66" s="426"/>
      <c r="BX66" s="426"/>
      <c r="BY66" s="426"/>
      <c r="BZ66" s="426"/>
      <c r="CA66" s="426"/>
      <c r="CB66" s="426"/>
      <c r="CC66" s="426"/>
      <c r="CD66" s="426"/>
      <c r="CE66" s="426"/>
      <c r="CF66" s="426"/>
      <c r="CG66" s="426"/>
      <c r="CH66" s="426"/>
      <c r="CI66" s="426"/>
      <c r="CJ66" s="426"/>
      <c r="CK66" s="426"/>
      <c r="CL66" s="426"/>
      <c r="CM66" s="426"/>
      <c r="CN66" s="426"/>
      <c r="CO66" s="426"/>
      <c r="CP66" s="426"/>
      <c r="CQ66" s="426"/>
      <c r="CR66" s="426"/>
      <c r="CS66" s="426"/>
      <c r="CT66" s="426"/>
      <c r="CU66" s="426"/>
      <c r="CV66" s="426"/>
      <c r="CW66" s="426"/>
      <c r="CX66" s="426"/>
      <c r="CY66" s="426"/>
      <c r="CZ66" s="426"/>
      <c r="DA66" s="426"/>
      <c r="DB66" s="426"/>
      <c r="DC66" s="426"/>
      <c r="DD66" s="426"/>
      <c r="DE66" s="426"/>
      <c r="DF66" s="426"/>
      <c r="DG66" s="426"/>
      <c r="DH66" s="426"/>
      <c r="DI66" s="426"/>
      <c r="DJ66" s="426"/>
      <c r="DK66" s="426"/>
      <c r="DL66" s="426"/>
      <c r="DM66" s="426"/>
      <c r="DN66" s="426"/>
      <c r="DO66" s="426"/>
      <c r="DP66" s="426"/>
      <c r="DQ66" s="426"/>
      <c r="DR66" s="426"/>
      <c r="DS66" s="426"/>
      <c r="DT66" s="426"/>
      <c r="DU66" s="426"/>
      <c r="DV66" s="426"/>
      <c r="DW66" s="426"/>
      <c r="DX66" s="426"/>
      <c r="DY66" s="426"/>
      <c r="DZ66" s="426"/>
      <c r="EA66" s="426"/>
      <c r="EB66" s="426"/>
      <c r="EC66" s="426"/>
      <c r="ED66" s="426"/>
      <c r="EE66" s="426"/>
      <c r="EF66" s="426"/>
      <c r="EG66" s="426"/>
    </row>
    <row r="67" spans="17:137">
      <c r="Q67" s="426"/>
      <c r="R67" s="426"/>
      <c r="S67" s="426"/>
      <c r="T67" s="426"/>
      <c r="U67" s="426"/>
      <c r="V67" s="426"/>
      <c r="W67" s="426"/>
      <c r="X67" s="426"/>
      <c r="Y67" s="426"/>
      <c r="Z67" s="426"/>
      <c r="AA67" s="426"/>
      <c r="AB67" s="426"/>
      <c r="AC67" s="426"/>
      <c r="AD67" s="426"/>
      <c r="AE67" s="426"/>
      <c r="AF67" s="426"/>
      <c r="AG67" s="426"/>
      <c r="AH67" s="426"/>
      <c r="AI67" s="426"/>
      <c r="AJ67" s="426"/>
      <c r="AK67" s="426"/>
      <c r="AL67" s="426"/>
      <c r="AM67" s="426"/>
      <c r="AN67" s="426"/>
      <c r="AO67" s="426"/>
      <c r="AP67" s="426"/>
      <c r="AQ67" s="426"/>
      <c r="AR67" s="426"/>
      <c r="AS67" s="426"/>
      <c r="AT67" s="426"/>
      <c r="AU67" s="426"/>
      <c r="AV67" s="426"/>
      <c r="AW67" s="426"/>
      <c r="AX67" s="426"/>
      <c r="AY67" s="426"/>
      <c r="AZ67" s="426"/>
      <c r="BA67" s="426"/>
      <c r="BB67" s="426"/>
      <c r="BC67" s="426"/>
      <c r="BD67" s="426"/>
      <c r="BE67" s="426"/>
      <c r="BF67" s="426"/>
      <c r="BG67" s="426"/>
      <c r="BH67" s="426"/>
      <c r="BI67" s="426"/>
      <c r="BJ67" s="426"/>
      <c r="BK67" s="426"/>
      <c r="BL67" s="426"/>
      <c r="BM67" s="426"/>
      <c r="BN67" s="426"/>
      <c r="BO67" s="426"/>
      <c r="BP67" s="426"/>
      <c r="BQ67" s="426"/>
      <c r="BR67" s="426"/>
      <c r="BS67" s="426"/>
      <c r="BT67" s="426"/>
      <c r="BU67" s="426"/>
      <c r="BV67" s="426"/>
      <c r="BW67" s="426"/>
      <c r="BX67" s="426"/>
      <c r="BY67" s="426"/>
      <c r="BZ67" s="426"/>
      <c r="CA67" s="426"/>
      <c r="CB67" s="426"/>
      <c r="CC67" s="426"/>
      <c r="CD67" s="426"/>
      <c r="CE67" s="426"/>
      <c r="CF67" s="426"/>
      <c r="CG67" s="426"/>
      <c r="CH67" s="426"/>
      <c r="CI67" s="426"/>
      <c r="CJ67" s="426"/>
      <c r="CK67" s="426"/>
      <c r="CL67" s="426"/>
      <c r="CM67" s="426"/>
      <c r="CN67" s="426"/>
      <c r="CO67" s="426"/>
      <c r="CP67" s="426"/>
      <c r="CQ67" s="426"/>
      <c r="CR67" s="426"/>
      <c r="CS67" s="426"/>
      <c r="CT67" s="426"/>
      <c r="CU67" s="426"/>
      <c r="CV67" s="426"/>
      <c r="CW67" s="426"/>
      <c r="CX67" s="426"/>
      <c r="CY67" s="426"/>
      <c r="CZ67" s="426"/>
      <c r="DA67" s="426"/>
      <c r="DB67" s="426"/>
      <c r="DC67" s="426"/>
      <c r="DD67" s="426"/>
      <c r="DE67" s="426"/>
      <c r="DF67" s="426"/>
      <c r="DG67" s="426"/>
      <c r="DH67" s="426"/>
      <c r="DI67" s="426"/>
      <c r="DJ67" s="426"/>
      <c r="DK67" s="426"/>
      <c r="DL67" s="426"/>
      <c r="DM67" s="426"/>
      <c r="DN67" s="426"/>
      <c r="DO67" s="426"/>
      <c r="DP67" s="426"/>
      <c r="DQ67" s="426"/>
      <c r="DR67" s="426"/>
      <c r="DS67" s="426"/>
      <c r="DT67" s="426"/>
      <c r="DU67" s="426"/>
      <c r="DV67" s="426"/>
      <c r="DW67" s="426"/>
      <c r="DX67" s="426"/>
      <c r="DY67" s="426"/>
      <c r="DZ67" s="426"/>
      <c r="EA67" s="426"/>
      <c r="EB67" s="426"/>
      <c r="EC67" s="426"/>
      <c r="ED67" s="426"/>
      <c r="EE67" s="426"/>
      <c r="EF67" s="426"/>
      <c r="EG67" s="426"/>
    </row>
    <row r="68" spans="17:137">
      <c r="Q68" s="426"/>
      <c r="R68" s="426"/>
      <c r="S68" s="426"/>
      <c r="T68" s="426"/>
      <c r="U68" s="426"/>
      <c r="V68" s="426"/>
      <c r="W68" s="426"/>
      <c r="X68" s="426"/>
      <c r="Y68" s="426"/>
      <c r="Z68" s="426"/>
      <c r="AA68" s="426"/>
      <c r="AB68" s="426"/>
      <c r="AC68" s="426"/>
      <c r="AD68" s="426"/>
      <c r="AE68" s="426"/>
      <c r="AF68" s="426"/>
      <c r="AG68" s="426"/>
      <c r="AH68" s="426"/>
      <c r="AI68" s="426"/>
      <c r="AJ68" s="426"/>
      <c r="AK68" s="426"/>
      <c r="AL68" s="426"/>
      <c r="AM68" s="426"/>
      <c r="AN68" s="426"/>
      <c r="AO68" s="426"/>
      <c r="AP68" s="426"/>
      <c r="AQ68" s="426"/>
      <c r="AR68" s="426"/>
      <c r="AS68" s="426"/>
      <c r="AT68" s="426"/>
      <c r="AU68" s="426"/>
      <c r="AV68" s="426"/>
      <c r="AW68" s="426"/>
      <c r="AX68" s="426"/>
      <c r="AY68" s="426"/>
      <c r="AZ68" s="426"/>
      <c r="BA68" s="426"/>
      <c r="BB68" s="426"/>
      <c r="BC68" s="426"/>
      <c r="BD68" s="426"/>
      <c r="BE68" s="426"/>
      <c r="BF68" s="426"/>
      <c r="BG68" s="426"/>
      <c r="BH68" s="426"/>
      <c r="BI68" s="426"/>
      <c r="BJ68" s="426"/>
      <c r="BK68" s="426"/>
      <c r="BL68" s="426"/>
      <c r="BM68" s="426"/>
      <c r="BN68" s="426"/>
      <c r="BO68" s="426"/>
      <c r="BP68" s="426"/>
      <c r="BQ68" s="426"/>
      <c r="BR68" s="426"/>
      <c r="BS68" s="426"/>
      <c r="BT68" s="426"/>
      <c r="BU68" s="426"/>
      <c r="BV68" s="426"/>
      <c r="BW68" s="426"/>
      <c r="BX68" s="426"/>
      <c r="BY68" s="426"/>
      <c r="BZ68" s="426"/>
      <c r="CA68" s="426"/>
      <c r="CB68" s="426"/>
      <c r="CC68" s="426"/>
      <c r="CD68" s="426"/>
      <c r="CE68" s="426"/>
      <c r="CF68" s="426"/>
      <c r="CG68" s="426"/>
      <c r="CH68" s="426"/>
      <c r="CI68" s="426"/>
      <c r="CJ68" s="426"/>
      <c r="CK68" s="426"/>
      <c r="CL68" s="426"/>
      <c r="CM68" s="426"/>
      <c r="CN68" s="426"/>
      <c r="CO68" s="426"/>
      <c r="CP68" s="426"/>
      <c r="CQ68" s="426"/>
      <c r="CR68" s="426"/>
      <c r="CS68" s="426"/>
      <c r="CT68" s="426"/>
      <c r="CU68" s="426"/>
      <c r="CV68" s="426"/>
      <c r="CW68" s="426"/>
      <c r="CX68" s="426"/>
      <c r="CY68" s="426"/>
      <c r="CZ68" s="426"/>
      <c r="DA68" s="426"/>
      <c r="DB68" s="426"/>
      <c r="DC68" s="426"/>
      <c r="DD68" s="426"/>
      <c r="DE68" s="426"/>
      <c r="DF68" s="426"/>
      <c r="DG68" s="426"/>
      <c r="DH68" s="426"/>
      <c r="DI68" s="426"/>
      <c r="DJ68" s="426"/>
      <c r="DK68" s="426"/>
      <c r="DL68" s="426"/>
      <c r="DM68" s="426"/>
      <c r="DN68" s="426"/>
      <c r="DO68" s="426"/>
      <c r="DP68" s="426"/>
      <c r="DQ68" s="426"/>
      <c r="DR68" s="426"/>
      <c r="DS68" s="426"/>
      <c r="DT68" s="426"/>
      <c r="DU68" s="426"/>
      <c r="DV68" s="426"/>
      <c r="DW68" s="426"/>
      <c r="DX68" s="426"/>
      <c r="DY68" s="426"/>
      <c r="DZ68" s="426"/>
      <c r="EA68" s="426"/>
      <c r="EB68" s="426"/>
      <c r="EC68" s="426"/>
      <c r="ED68" s="426"/>
      <c r="EE68" s="426"/>
      <c r="EF68" s="426"/>
      <c r="EG68" s="426"/>
    </row>
    <row r="69" spans="17:137">
      <c r="Q69" s="426"/>
      <c r="R69" s="426"/>
      <c r="S69" s="426"/>
      <c r="T69" s="426"/>
      <c r="U69" s="426"/>
      <c r="V69" s="426"/>
      <c r="W69" s="426"/>
      <c r="X69" s="426"/>
      <c r="Y69" s="426"/>
      <c r="Z69" s="426"/>
      <c r="AA69" s="426"/>
      <c r="AB69" s="426"/>
      <c r="AC69" s="426"/>
      <c r="AD69" s="426"/>
      <c r="AE69" s="426"/>
      <c r="AF69" s="426"/>
      <c r="AG69" s="426"/>
      <c r="AH69" s="426"/>
      <c r="AI69" s="426"/>
      <c r="AJ69" s="426"/>
      <c r="AK69" s="426"/>
      <c r="AL69" s="426"/>
      <c r="AM69" s="426"/>
      <c r="AN69" s="426"/>
      <c r="AO69" s="426"/>
      <c r="AP69" s="426"/>
      <c r="AQ69" s="426"/>
      <c r="AR69" s="426"/>
      <c r="AS69" s="426"/>
      <c r="AT69" s="426"/>
      <c r="AU69" s="426"/>
      <c r="AV69" s="426"/>
      <c r="AW69" s="426"/>
      <c r="AX69" s="426"/>
      <c r="AY69" s="426"/>
      <c r="AZ69" s="426"/>
      <c r="BA69" s="426"/>
      <c r="BB69" s="426"/>
      <c r="BC69" s="426"/>
      <c r="BD69" s="426"/>
      <c r="BE69" s="426"/>
      <c r="BF69" s="426"/>
      <c r="BG69" s="426"/>
      <c r="BH69" s="426"/>
      <c r="BI69" s="426"/>
      <c r="BJ69" s="426"/>
      <c r="BK69" s="426"/>
      <c r="BL69" s="426"/>
      <c r="BM69" s="426"/>
      <c r="BN69" s="426"/>
      <c r="BO69" s="426"/>
      <c r="BP69" s="426"/>
      <c r="BQ69" s="426"/>
      <c r="BR69" s="426"/>
      <c r="BS69" s="426"/>
      <c r="BT69" s="426"/>
      <c r="BU69" s="426"/>
      <c r="BV69" s="426"/>
      <c r="BW69" s="426"/>
      <c r="BX69" s="426"/>
      <c r="BY69" s="426"/>
      <c r="BZ69" s="426"/>
      <c r="CA69" s="426"/>
      <c r="CB69" s="426"/>
      <c r="CC69" s="426"/>
      <c r="CD69" s="426"/>
      <c r="CE69" s="426"/>
      <c r="CF69" s="426"/>
      <c r="CG69" s="426"/>
      <c r="CH69" s="426"/>
      <c r="CI69" s="426"/>
      <c r="CJ69" s="426"/>
      <c r="CK69" s="426"/>
      <c r="CL69" s="426"/>
      <c r="CM69" s="426"/>
      <c r="CN69" s="426"/>
      <c r="CO69" s="426"/>
      <c r="CP69" s="426"/>
      <c r="CQ69" s="426"/>
      <c r="CR69" s="426"/>
      <c r="CS69" s="426"/>
      <c r="CT69" s="426"/>
      <c r="CU69" s="426"/>
      <c r="CV69" s="426"/>
      <c r="CW69" s="426"/>
      <c r="CX69" s="426"/>
      <c r="CY69" s="426"/>
      <c r="CZ69" s="426"/>
      <c r="DA69" s="426"/>
      <c r="DB69" s="426"/>
      <c r="DC69" s="426"/>
      <c r="DD69" s="426"/>
      <c r="DE69" s="426"/>
      <c r="DF69" s="426"/>
      <c r="DG69" s="426"/>
      <c r="DH69" s="426"/>
      <c r="DI69" s="426"/>
      <c r="DJ69" s="426"/>
      <c r="DK69" s="426"/>
      <c r="DL69" s="426"/>
      <c r="DM69" s="426"/>
      <c r="DN69" s="426"/>
      <c r="DO69" s="426"/>
      <c r="DP69" s="426"/>
      <c r="DQ69" s="426"/>
      <c r="DR69" s="426"/>
      <c r="DS69" s="426"/>
      <c r="DT69" s="426"/>
      <c r="DU69" s="426"/>
      <c r="DV69" s="426"/>
      <c r="DW69" s="426"/>
      <c r="DX69" s="426"/>
      <c r="DY69" s="426"/>
      <c r="DZ69" s="426"/>
      <c r="EA69" s="426"/>
      <c r="EB69" s="426"/>
      <c r="EC69" s="426"/>
      <c r="ED69" s="426"/>
      <c r="EE69" s="426"/>
      <c r="EF69" s="426"/>
      <c r="EG69" s="426"/>
    </row>
    <row r="70" spans="17:137">
      <c r="Q70" s="375"/>
      <c r="R70" s="375"/>
      <c r="S70" s="375"/>
      <c r="T70" s="375"/>
      <c r="U70" s="375"/>
      <c r="V70" s="375"/>
      <c r="W70" s="375"/>
      <c r="X70" s="375"/>
      <c r="Y70" s="375"/>
      <c r="Z70" s="375"/>
      <c r="AA70" s="375"/>
      <c r="AB70" s="375"/>
      <c r="AC70" s="375"/>
      <c r="AD70" s="375"/>
      <c r="AE70" s="375"/>
      <c r="AF70" s="375"/>
      <c r="AG70" s="375"/>
      <c r="AH70" s="375"/>
    </row>
    <row r="71" spans="17:137">
      <c r="Q71" s="375"/>
      <c r="R71" s="375"/>
      <c r="S71" s="375"/>
      <c r="T71" s="375"/>
      <c r="U71" s="375"/>
      <c r="V71" s="375"/>
      <c r="W71" s="375"/>
      <c r="X71" s="375"/>
      <c r="Y71" s="375"/>
      <c r="Z71" s="375"/>
      <c r="AA71" s="375"/>
      <c r="AB71" s="375"/>
      <c r="AC71" s="375"/>
      <c r="AD71" s="375"/>
      <c r="AE71" s="375"/>
      <c r="AF71" s="375"/>
      <c r="AG71" s="375"/>
      <c r="AH71" s="375"/>
    </row>
    <row r="72" spans="17:137">
      <c r="Q72" s="375"/>
      <c r="R72" s="375"/>
      <c r="S72" s="375"/>
      <c r="T72" s="375"/>
      <c r="U72" s="375"/>
      <c r="V72" s="375"/>
      <c r="W72" s="375"/>
      <c r="X72" s="375"/>
      <c r="Y72" s="375"/>
      <c r="Z72" s="375"/>
      <c r="AA72" s="375"/>
      <c r="AB72" s="375"/>
      <c r="AC72" s="375"/>
      <c r="AD72" s="375"/>
      <c r="AE72" s="375"/>
      <c r="AF72" s="375"/>
      <c r="AG72" s="375"/>
      <c r="AH72" s="375"/>
    </row>
    <row r="73" spans="17:137">
      <c r="Q73" s="375"/>
      <c r="R73" s="375"/>
      <c r="S73" s="375"/>
      <c r="T73" s="375"/>
      <c r="U73" s="375"/>
      <c r="V73" s="375"/>
      <c r="W73" s="375"/>
      <c r="X73" s="375"/>
      <c r="Y73" s="375"/>
      <c r="Z73" s="375"/>
      <c r="AA73" s="375"/>
      <c r="AB73" s="375"/>
      <c r="AC73" s="375"/>
      <c r="AD73" s="375"/>
      <c r="AE73" s="375"/>
      <c r="AF73" s="375"/>
      <c r="AG73" s="375"/>
      <c r="AH73" s="375"/>
    </row>
    <row r="74" spans="17:137">
      <c r="Q74" s="375"/>
      <c r="R74" s="375"/>
      <c r="S74" s="375"/>
      <c r="T74" s="375"/>
      <c r="U74" s="375"/>
      <c r="V74" s="375"/>
      <c r="W74" s="375"/>
      <c r="X74" s="375"/>
      <c r="Y74" s="375"/>
      <c r="Z74" s="375"/>
      <c r="AA74" s="375"/>
      <c r="AB74" s="375"/>
      <c r="AC74" s="375"/>
      <c r="AD74" s="375"/>
      <c r="AE74" s="375"/>
      <c r="AF74" s="375"/>
      <c r="AG74" s="375"/>
      <c r="AH74" s="375"/>
    </row>
    <row r="75" spans="17:137">
      <c r="Q75" s="375"/>
      <c r="R75" s="375"/>
      <c r="S75" s="375"/>
      <c r="T75" s="375"/>
      <c r="U75" s="375"/>
      <c r="V75" s="375"/>
      <c r="W75" s="375"/>
      <c r="X75" s="375"/>
      <c r="Y75" s="375"/>
      <c r="Z75" s="375"/>
      <c r="AA75" s="375"/>
      <c r="AB75" s="375"/>
      <c r="AC75" s="375"/>
      <c r="AD75" s="375"/>
      <c r="AE75" s="375"/>
      <c r="AF75" s="375"/>
      <c r="AG75" s="375"/>
      <c r="AH75" s="375"/>
    </row>
    <row r="76" spans="17:137">
      <c r="Q76" s="375"/>
      <c r="R76" s="375"/>
      <c r="S76" s="375"/>
      <c r="T76" s="375"/>
      <c r="U76" s="375"/>
      <c r="V76" s="375"/>
      <c r="W76" s="375"/>
      <c r="X76" s="375"/>
      <c r="Y76" s="375"/>
      <c r="Z76" s="375"/>
      <c r="AA76" s="375"/>
      <c r="AB76" s="375"/>
      <c r="AC76" s="375"/>
      <c r="AD76" s="375"/>
      <c r="AE76" s="375"/>
      <c r="AF76" s="375"/>
      <c r="AG76" s="375"/>
      <c r="AH76" s="375"/>
    </row>
    <row r="77" spans="17:137">
      <c r="Q77" s="375"/>
      <c r="R77" s="375"/>
      <c r="S77" s="375"/>
      <c r="T77" s="375"/>
      <c r="U77" s="375"/>
      <c r="V77" s="375"/>
      <c r="W77" s="375"/>
      <c r="X77" s="375"/>
      <c r="Y77" s="375"/>
      <c r="Z77" s="375"/>
      <c r="AA77" s="375"/>
      <c r="AB77" s="375"/>
      <c r="AC77" s="375"/>
      <c r="AD77" s="375"/>
      <c r="AE77" s="375"/>
      <c r="AF77" s="375"/>
      <c r="AG77" s="375"/>
      <c r="AH77" s="375"/>
    </row>
    <row r="78" spans="17:137">
      <c r="Q78" s="375"/>
      <c r="R78" s="375"/>
      <c r="S78" s="375"/>
      <c r="T78" s="375"/>
      <c r="U78" s="375"/>
      <c r="V78" s="375"/>
      <c r="W78" s="375"/>
      <c r="X78" s="375"/>
      <c r="Y78" s="375"/>
      <c r="Z78" s="375"/>
      <c r="AA78" s="375"/>
      <c r="AB78" s="375"/>
      <c r="AC78" s="375"/>
      <c r="AD78" s="375"/>
      <c r="AE78" s="375"/>
      <c r="AF78" s="375"/>
      <c r="AG78" s="375"/>
      <c r="AH78" s="375"/>
    </row>
    <row r="79" spans="17:137">
      <c r="Q79" s="375"/>
      <c r="R79" s="375"/>
      <c r="S79" s="375"/>
      <c r="T79" s="375"/>
      <c r="U79" s="375"/>
      <c r="V79" s="375"/>
      <c r="W79" s="375"/>
      <c r="X79" s="375"/>
      <c r="Y79" s="375"/>
      <c r="Z79" s="375"/>
      <c r="AA79" s="375"/>
      <c r="AB79" s="375"/>
      <c r="AC79" s="375"/>
      <c r="AD79" s="375"/>
      <c r="AE79" s="375"/>
      <c r="AF79" s="375"/>
      <c r="AG79" s="375"/>
      <c r="AH79" s="375"/>
    </row>
    <row r="80" spans="17:137">
      <c r="Q80" s="375"/>
      <c r="R80" s="375"/>
      <c r="S80" s="375"/>
      <c r="T80" s="375"/>
      <c r="U80" s="375"/>
      <c r="V80" s="375"/>
      <c r="W80" s="375"/>
      <c r="X80" s="375"/>
      <c r="Y80" s="375"/>
      <c r="Z80" s="375"/>
      <c r="AA80" s="375"/>
      <c r="AB80" s="375"/>
      <c r="AC80" s="375"/>
      <c r="AD80" s="375"/>
      <c r="AE80" s="375"/>
      <c r="AF80" s="375"/>
      <c r="AG80" s="375"/>
      <c r="AH80" s="375"/>
    </row>
    <row r="81" spans="17:34">
      <c r="Q81" s="375"/>
      <c r="R81" s="375"/>
      <c r="S81" s="375"/>
      <c r="T81" s="375"/>
      <c r="U81" s="375"/>
      <c r="V81" s="375"/>
      <c r="W81" s="375"/>
      <c r="X81" s="375"/>
      <c r="Y81" s="375"/>
      <c r="Z81" s="375"/>
      <c r="AA81" s="375"/>
      <c r="AB81" s="375"/>
      <c r="AC81" s="375"/>
      <c r="AD81" s="375"/>
      <c r="AE81" s="375"/>
      <c r="AF81" s="375"/>
      <c r="AG81" s="375"/>
      <c r="AH81" s="375"/>
    </row>
    <row r="82" spans="17:34">
      <c r="Q82" s="375"/>
      <c r="R82" s="375"/>
      <c r="S82" s="375"/>
      <c r="T82" s="375"/>
      <c r="U82" s="375"/>
      <c r="V82" s="375"/>
      <c r="W82" s="375"/>
      <c r="X82" s="375"/>
      <c r="Y82" s="375"/>
      <c r="Z82" s="375"/>
      <c r="AA82" s="375"/>
      <c r="AB82" s="375"/>
      <c r="AC82" s="375"/>
      <c r="AD82" s="375"/>
      <c r="AE82" s="375"/>
      <c r="AF82" s="375"/>
      <c r="AG82" s="375"/>
      <c r="AH82" s="375"/>
    </row>
    <row r="83" spans="17:34">
      <c r="Q83" s="375"/>
      <c r="R83" s="375"/>
      <c r="S83" s="375"/>
      <c r="T83" s="375"/>
      <c r="U83" s="375"/>
      <c r="V83" s="375"/>
      <c r="W83" s="375"/>
      <c r="X83" s="375"/>
      <c r="Y83" s="375"/>
      <c r="Z83" s="375"/>
      <c r="AA83" s="375"/>
      <c r="AB83" s="375"/>
      <c r="AC83" s="375"/>
      <c r="AD83" s="375"/>
      <c r="AE83" s="375"/>
      <c r="AF83" s="375"/>
      <c r="AG83" s="375"/>
      <c r="AH83" s="375"/>
    </row>
    <row r="84" spans="17:34">
      <c r="Q84" s="375"/>
      <c r="R84" s="375"/>
      <c r="S84" s="375"/>
      <c r="T84" s="375"/>
      <c r="U84" s="375"/>
      <c r="V84" s="375"/>
      <c r="W84" s="375"/>
      <c r="X84" s="375"/>
      <c r="Y84" s="375"/>
      <c r="Z84" s="375"/>
      <c r="AA84" s="375"/>
      <c r="AB84" s="375"/>
      <c r="AC84" s="375"/>
      <c r="AD84" s="375"/>
      <c r="AE84" s="375"/>
      <c r="AF84" s="375"/>
      <c r="AG84" s="375"/>
      <c r="AH84" s="375"/>
    </row>
    <row r="85" spans="17:34">
      <c r="Q85" s="375"/>
      <c r="R85" s="375"/>
      <c r="S85" s="375"/>
      <c r="T85" s="375"/>
      <c r="U85" s="375"/>
      <c r="V85" s="375"/>
      <c r="W85" s="375"/>
      <c r="X85" s="375"/>
      <c r="Y85" s="375"/>
      <c r="Z85" s="375"/>
      <c r="AA85" s="375"/>
      <c r="AB85" s="375"/>
      <c r="AC85" s="375"/>
      <c r="AD85" s="375"/>
      <c r="AE85" s="375"/>
      <c r="AF85" s="375"/>
      <c r="AG85" s="375"/>
      <c r="AH85" s="375"/>
    </row>
    <row r="86" spans="17:34">
      <c r="Q86" s="375"/>
      <c r="R86" s="375"/>
      <c r="S86" s="375"/>
      <c r="T86" s="375"/>
      <c r="U86" s="375"/>
      <c r="V86" s="375"/>
      <c r="W86" s="375"/>
      <c r="X86" s="375"/>
      <c r="Y86" s="375"/>
      <c r="Z86" s="375"/>
      <c r="AA86" s="375"/>
      <c r="AB86" s="375"/>
      <c r="AC86" s="375"/>
      <c r="AD86" s="375"/>
      <c r="AE86" s="375"/>
      <c r="AF86" s="375"/>
      <c r="AG86" s="375"/>
      <c r="AH86" s="375"/>
    </row>
  </sheetData>
  <mergeCells count="10">
    <mergeCell ref="AK1:AK2"/>
    <mergeCell ref="S2:U2"/>
    <mergeCell ref="AM2:AO2"/>
    <mergeCell ref="Q1:Q2"/>
    <mergeCell ref="C6:C7"/>
    <mergeCell ref="F6:G6"/>
    <mergeCell ref="B1:D1"/>
    <mergeCell ref="B6:B7"/>
    <mergeCell ref="D6:D7"/>
    <mergeCell ref="E6:E7"/>
  </mergeCells>
  <pageMargins left="0.59055118110236227" right="0.62992125984251968" top="1.1811023622047245" bottom="1.9685039370078741" header="0" footer="0"/>
  <pageSetup paperSize="9" orientation="portrait" r:id="rId1"/>
  <ignoredErrors>
    <ignoredError sqref="G5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0.39997558519241921"/>
  </sheetPr>
  <dimension ref="A1:BW55"/>
  <sheetViews>
    <sheetView zoomScaleNormal="100" workbookViewId="0">
      <selection activeCell="I7" sqref="I7"/>
    </sheetView>
  </sheetViews>
  <sheetFormatPr defaultRowHeight="12.75"/>
  <cols>
    <col min="1" max="1" width="1.2851562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customWidth="1"/>
    <col min="9" max="11" width="0.85546875" customWidth="1"/>
    <col min="12" max="14" width="1.7109375" customWidth="1"/>
    <col min="15" max="15" width="1.7109375" style="211" customWidth="1"/>
    <col min="16" max="16" width="9.7109375" style="211" customWidth="1"/>
    <col min="17" max="17" width="38.42578125" bestFit="1" customWidth="1"/>
    <col min="18" max="18" width="9.140625" bestFit="1" customWidth="1"/>
    <col min="19" max="19" width="7.140625" bestFit="1" customWidth="1"/>
    <col min="20" max="20" width="6.140625" bestFit="1" customWidth="1"/>
    <col min="21" max="23" width="7.140625" bestFit="1" customWidth="1"/>
    <col min="24" max="24" width="7.7109375" bestFit="1" customWidth="1"/>
    <col min="25" max="26" width="7.140625" bestFit="1" customWidth="1"/>
    <col min="27" max="27" width="8" bestFit="1" customWidth="1"/>
    <col min="28" max="30" width="8.140625" bestFit="1" customWidth="1"/>
    <col min="31" max="33" width="9.140625" bestFit="1" customWidth="1"/>
    <col min="34" max="36" width="8.140625" bestFit="1" customWidth="1"/>
    <col min="37" max="37" width="38.42578125" bestFit="1" customWidth="1"/>
    <col min="38" max="38" width="10.140625" bestFit="1" customWidth="1"/>
    <col min="39" max="56" width="9.28515625" bestFit="1" customWidth="1"/>
  </cols>
  <sheetData>
    <row r="1" spans="1:75" ht="17.25" customHeight="1">
      <c r="A1" s="57"/>
      <c r="B1" s="518" t="s">
        <v>402</v>
      </c>
      <c r="C1" s="518"/>
      <c r="D1" s="518"/>
      <c r="E1" s="61"/>
      <c r="F1" s="30"/>
      <c r="G1" s="30"/>
      <c r="H1" s="30"/>
      <c r="I1" s="30"/>
      <c r="J1" s="30"/>
      <c r="K1" s="30"/>
      <c r="L1" s="30"/>
      <c r="M1" s="30"/>
      <c r="N1" s="30"/>
      <c r="O1" s="58"/>
      <c r="P1" s="389"/>
      <c r="Q1" s="517" t="s">
        <v>414</v>
      </c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517" t="s">
        <v>415</v>
      </c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352"/>
      <c r="BK1" s="352"/>
      <c r="BL1" s="352"/>
      <c r="BM1" s="352"/>
      <c r="BN1" s="352"/>
      <c r="BO1" s="352"/>
      <c r="BP1" s="352"/>
      <c r="BQ1" s="352"/>
      <c r="BR1" s="352"/>
      <c r="BS1" s="352"/>
      <c r="BT1" s="352"/>
      <c r="BU1" s="352"/>
      <c r="BV1" s="352"/>
      <c r="BW1" s="352"/>
    </row>
    <row r="2" spans="1:75" ht="12.75" customHeight="1">
      <c r="A2" s="30"/>
      <c r="B2" s="59" t="str">
        <f>"Diagnozuotų onkologinių susirgimų skaičius ir sergamumo rodikliai Lietuvoje  " &amp; GrafikaiSerg!A1 &amp; " metais. Vyrai"</f>
        <v>Diagnozuotų onkologinių susirgimų skaičius ir sergamumo rodikliai Lietuvoje  2015 metais. Vyrai</v>
      </c>
      <c r="C2" s="57"/>
      <c r="D2" s="30"/>
      <c r="E2" s="63"/>
      <c r="F2" s="30"/>
      <c r="G2" s="30"/>
      <c r="H2" s="30"/>
      <c r="I2" s="30"/>
      <c r="J2" s="30"/>
      <c r="K2" s="30"/>
      <c r="L2" s="30"/>
      <c r="M2" s="30"/>
      <c r="N2" s="30"/>
      <c r="O2" s="58"/>
      <c r="P2" s="389"/>
      <c r="Q2" s="517"/>
      <c r="R2" s="353" t="s">
        <v>354</v>
      </c>
      <c r="S2" s="403" t="s">
        <v>358</v>
      </c>
      <c r="T2" s="403"/>
      <c r="U2" s="403"/>
      <c r="V2" s="354">
        <f>GrafikaiSerg!A1</f>
        <v>2015</v>
      </c>
      <c r="W2" s="352" t="s">
        <v>357</v>
      </c>
      <c r="X2" s="352" t="str">
        <f>CONCATENATE("pop",RIGHT(V2,2),"m")</f>
        <v>pop15m</v>
      </c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517"/>
      <c r="AL2" s="353" t="s">
        <v>354</v>
      </c>
      <c r="AM2" s="403" t="s">
        <v>358</v>
      </c>
      <c r="AN2" s="403"/>
      <c r="AO2" s="403"/>
      <c r="AP2" s="354">
        <f>V2</f>
        <v>2015</v>
      </c>
      <c r="AQ2" s="352" t="s">
        <v>357</v>
      </c>
      <c r="AR2" s="352" t="str">
        <f>CONCATENATE("pop",RIGHT(AP2,2),"m")</f>
        <v>pop15m</v>
      </c>
      <c r="AS2" s="352"/>
      <c r="AT2" s="352"/>
      <c r="AU2" s="352"/>
      <c r="AV2" s="352"/>
      <c r="AW2" s="352"/>
      <c r="AX2" s="352"/>
      <c r="AY2" s="352"/>
      <c r="AZ2" s="352"/>
      <c r="BA2" s="352"/>
      <c r="BB2" s="352"/>
      <c r="BC2" s="352"/>
      <c r="BD2" s="352"/>
      <c r="BE2" s="352"/>
      <c r="BF2" s="352"/>
      <c r="BG2" s="352"/>
      <c r="BH2" s="352"/>
      <c r="BI2" s="352"/>
      <c r="BJ2" s="352"/>
      <c r="BK2" s="352"/>
      <c r="BL2" s="352"/>
      <c r="BM2" s="352"/>
      <c r="BN2" s="352"/>
      <c r="BO2" s="352"/>
      <c r="BP2" s="352"/>
      <c r="BQ2" s="352"/>
      <c r="BR2" s="352"/>
      <c r="BS2" s="352"/>
      <c r="BT2" s="352"/>
      <c r="BU2" s="352"/>
      <c r="BV2" s="352"/>
      <c r="BW2" s="352"/>
    </row>
    <row r="3" spans="1:75" ht="12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58"/>
      <c r="P3" s="404"/>
      <c r="Q3" s="355" t="s">
        <v>408</v>
      </c>
      <c r="R3" s="397">
        <f>SUM(S3:AJ3)</f>
        <v>100000</v>
      </c>
      <c r="S3" s="398">
        <v>8000</v>
      </c>
      <c r="T3" s="398">
        <v>7000</v>
      </c>
      <c r="U3" s="398">
        <v>7000</v>
      </c>
      <c r="V3" s="398">
        <v>7000</v>
      </c>
      <c r="W3" s="398">
        <v>7000</v>
      </c>
      <c r="X3" s="398">
        <v>7000</v>
      </c>
      <c r="Y3" s="398">
        <v>7000</v>
      </c>
      <c r="Z3" s="398">
        <v>7000</v>
      </c>
      <c r="AA3" s="398">
        <v>7000</v>
      </c>
      <c r="AB3" s="398">
        <v>7000</v>
      </c>
      <c r="AC3" s="398">
        <v>7000</v>
      </c>
      <c r="AD3" s="398">
        <v>6000</v>
      </c>
      <c r="AE3" s="398">
        <v>5000</v>
      </c>
      <c r="AF3" s="398">
        <v>4000</v>
      </c>
      <c r="AG3" s="398">
        <v>3000</v>
      </c>
      <c r="AH3" s="398">
        <v>2000</v>
      </c>
      <c r="AI3" s="398">
        <v>1000</v>
      </c>
      <c r="AJ3" s="398">
        <v>1000</v>
      </c>
      <c r="AK3" s="396" t="s">
        <v>409</v>
      </c>
      <c r="AL3" s="397">
        <f>SUM(AM3:BD3)</f>
        <v>100000</v>
      </c>
      <c r="AM3" s="391">
        <v>12000</v>
      </c>
      <c r="AN3" s="391">
        <v>10000</v>
      </c>
      <c r="AO3" s="391">
        <v>9000</v>
      </c>
      <c r="AP3" s="391">
        <v>9000</v>
      </c>
      <c r="AQ3" s="391">
        <v>8000</v>
      </c>
      <c r="AR3" s="391">
        <v>8000</v>
      </c>
      <c r="AS3" s="391">
        <v>6000</v>
      </c>
      <c r="AT3" s="391">
        <v>6000</v>
      </c>
      <c r="AU3" s="391">
        <v>6000</v>
      </c>
      <c r="AV3" s="391">
        <v>6000</v>
      </c>
      <c r="AW3" s="391">
        <v>5000</v>
      </c>
      <c r="AX3" s="391">
        <v>4000</v>
      </c>
      <c r="AY3" s="391">
        <v>4000</v>
      </c>
      <c r="AZ3" s="391">
        <v>3000</v>
      </c>
      <c r="BA3" s="391">
        <v>2000</v>
      </c>
      <c r="BB3" s="391">
        <v>1000</v>
      </c>
      <c r="BC3" s="391">
        <v>500</v>
      </c>
      <c r="BD3" s="391">
        <v>500</v>
      </c>
      <c r="BE3" s="391"/>
      <c r="BF3" s="391"/>
      <c r="BG3" s="391"/>
      <c r="BH3" s="391"/>
      <c r="BI3" s="391"/>
      <c r="BJ3" s="391"/>
      <c r="BK3" s="391"/>
      <c r="BL3" s="391"/>
      <c r="BM3" s="352"/>
      <c r="BN3" s="352"/>
      <c r="BO3" s="352"/>
      <c r="BP3" s="352"/>
      <c r="BQ3" s="352"/>
      <c r="BR3" s="352"/>
      <c r="BS3" s="352"/>
      <c r="BT3" s="352"/>
      <c r="BU3" s="352"/>
      <c r="BV3" s="352"/>
      <c r="BW3" s="352"/>
    </row>
    <row r="4" spans="1:75" ht="12.95" customHeight="1">
      <c r="A4" s="30"/>
      <c r="B4" s="509" t="s">
        <v>351</v>
      </c>
      <c r="C4" s="509" t="s">
        <v>244</v>
      </c>
      <c r="D4" s="513" t="s">
        <v>268</v>
      </c>
      <c r="E4" s="515" t="s">
        <v>355</v>
      </c>
      <c r="F4" s="511" t="s">
        <v>359</v>
      </c>
      <c r="G4" s="511"/>
      <c r="H4" s="219"/>
      <c r="I4" s="219"/>
      <c r="J4" s="219"/>
      <c r="K4" s="219"/>
      <c r="L4" s="219"/>
      <c r="M4" s="219"/>
      <c r="N4" s="219"/>
      <c r="O4" s="58"/>
      <c r="P4" s="405"/>
      <c r="Q4" s="352" t="s">
        <v>416</v>
      </c>
      <c r="R4" s="397">
        <f>SUM(S4:AJ4)</f>
        <v>1337932</v>
      </c>
      <c r="S4" s="399">
        <f>HLOOKUP($X$2,Populiacija!$B$1:$BB$20,2,FALSE)</f>
        <v>77411</v>
      </c>
      <c r="T4" s="399">
        <f>HLOOKUP($X$2,Populiacija!$B$1:$BB$20,3,FALSE)</f>
        <v>71269</v>
      </c>
      <c r="U4" s="399">
        <f>HLOOKUP($X$2,Populiacija!$B$1:$BB$20,4,FALSE)</f>
        <v>68846</v>
      </c>
      <c r="V4" s="399">
        <f>HLOOKUP($X$2,Populiacija!$B$1:$BB$20,5,FALSE)</f>
        <v>85448</v>
      </c>
      <c r="W4" s="399">
        <f>HLOOKUP($X$2,Populiacija!$B$1:$BB$20,6,FALSE)</f>
        <v>103455</v>
      </c>
      <c r="X4" s="399">
        <f>HLOOKUP($X$2,Populiacija!$B$1:$BB$20,7,FALSE)</f>
        <v>100471</v>
      </c>
      <c r="Y4" s="399">
        <f>HLOOKUP($X$2,Populiacija!$B$1:$BB$20,8,FALSE)</f>
        <v>90329</v>
      </c>
      <c r="Z4" s="399">
        <f>HLOOKUP($X$2,Populiacija!$B$1:$BB$20,9,FALSE)</f>
        <v>87159</v>
      </c>
      <c r="AA4" s="399">
        <f>HLOOKUP($X$2,Populiacija!$B$1:$BB$20,10,FALSE)</f>
        <v>95371</v>
      </c>
      <c r="AB4" s="399">
        <f>HLOOKUP($X$2,Populiacija!$B$1:$BB$20,11,FALSE)</f>
        <v>98989</v>
      </c>
      <c r="AC4" s="399">
        <f>HLOOKUP($X$2,Populiacija!$B$1:$BB$20,12,FALSE)</f>
        <v>105736</v>
      </c>
      <c r="AD4" s="399">
        <f>HLOOKUP($X$2,Populiacija!$B$1:$BB$20,13,FALSE)</f>
        <v>96361</v>
      </c>
      <c r="AE4" s="399">
        <f>HLOOKUP($X$2,Populiacija!$B$1:$BB$20,14,FALSE)</f>
        <v>72856</v>
      </c>
      <c r="AF4" s="399">
        <f>HLOOKUP($X$2,Populiacija!$B$1:$BB$20,15,FALSE)</f>
        <v>57241</v>
      </c>
      <c r="AG4" s="399">
        <f>HLOOKUP($X$2,Populiacija!$B$1:$BB$20,16,FALSE)</f>
        <v>47318</v>
      </c>
      <c r="AH4" s="399">
        <f>HLOOKUP($X$2,Populiacija!$B$1:$BB$20,17,FALSE)</f>
        <v>39525</v>
      </c>
      <c r="AI4" s="399">
        <f>HLOOKUP($X$2,Populiacija!$B$1:$BB$20,18,FALSE)</f>
        <v>24886</v>
      </c>
      <c r="AJ4" s="399">
        <f>HLOOKUP($X$2,Populiacija!$B$1:$BB$20,19,FALSE)</f>
        <v>15261</v>
      </c>
      <c r="AK4" s="391" t="s">
        <v>416</v>
      </c>
      <c r="AL4" s="397">
        <f>SUM(AM4:BD4)</f>
        <v>1337932</v>
      </c>
      <c r="AM4" s="399">
        <f>HLOOKUP($X$2,Populiacija!$B$1:$BB$20,2,FALSE)</f>
        <v>77411</v>
      </c>
      <c r="AN4" s="399">
        <f>HLOOKUP($X$2,Populiacija!$B$1:$BB$20,3,FALSE)</f>
        <v>71269</v>
      </c>
      <c r="AO4" s="399">
        <f>HLOOKUP($X$2,Populiacija!$B$1:$BB$20,4,FALSE)</f>
        <v>68846</v>
      </c>
      <c r="AP4" s="399">
        <f>HLOOKUP($X$2,Populiacija!$B$1:$BB$20,5,FALSE)</f>
        <v>85448</v>
      </c>
      <c r="AQ4" s="399">
        <f>HLOOKUP($X$2,Populiacija!$B$1:$BB$20,6,FALSE)</f>
        <v>103455</v>
      </c>
      <c r="AR4" s="399">
        <f>HLOOKUP($X$2,Populiacija!$B$1:$BB$20,7,FALSE)</f>
        <v>100471</v>
      </c>
      <c r="AS4" s="399">
        <f>HLOOKUP($X$2,Populiacija!$B$1:$BB$20,8,FALSE)</f>
        <v>90329</v>
      </c>
      <c r="AT4" s="399">
        <f>HLOOKUP($X$2,Populiacija!$B$1:$BB$20,9,FALSE)</f>
        <v>87159</v>
      </c>
      <c r="AU4" s="399">
        <f>HLOOKUP($X$2,Populiacija!$B$1:$BB$20,10,FALSE)</f>
        <v>95371</v>
      </c>
      <c r="AV4" s="399">
        <f>HLOOKUP($X$2,Populiacija!$B$1:$BB$20,11,FALSE)</f>
        <v>98989</v>
      </c>
      <c r="AW4" s="399">
        <f>HLOOKUP($X$2,Populiacija!$B$1:$BB$20,12,FALSE)</f>
        <v>105736</v>
      </c>
      <c r="AX4" s="399">
        <f>HLOOKUP($X$2,Populiacija!$B$1:$BB$20,13,FALSE)</f>
        <v>96361</v>
      </c>
      <c r="AY4" s="399">
        <f>HLOOKUP($X$2,Populiacija!$B$1:$BB$20,14,FALSE)</f>
        <v>72856</v>
      </c>
      <c r="AZ4" s="399">
        <f>HLOOKUP($X$2,Populiacija!$B$1:$BB$20,15,FALSE)</f>
        <v>57241</v>
      </c>
      <c r="BA4" s="399">
        <f>HLOOKUP($X$2,Populiacija!$B$1:$BB$20,16,FALSE)</f>
        <v>47318</v>
      </c>
      <c r="BB4" s="399">
        <f>HLOOKUP($X$2,Populiacija!$B$1:$BB$20,17,FALSE)</f>
        <v>39525</v>
      </c>
      <c r="BC4" s="399">
        <f>HLOOKUP($X$2,Populiacija!$B$1:$BB$20,18,FALSE)</f>
        <v>24886</v>
      </c>
      <c r="BD4" s="399">
        <f>HLOOKUP($X$2,Populiacija!$B$1:$BB$20,19,FALSE)</f>
        <v>15261</v>
      </c>
      <c r="BE4" s="391"/>
      <c r="BF4" s="391"/>
      <c r="BG4" s="391"/>
      <c r="BH4" s="391"/>
      <c r="BI4" s="391"/>
      <c r="BJ4" s="391"/>
      <c r="BK4" s="391"/>
      <c r="BL4" s="391"/>
      <c r="BM4" s="352"/>
      <c r="BN4" s="352"/>
      <c r="BO4" s="352"/>
      <c r="BP4" s="352"/>
      <c r="BQ4" s="352"/>
      <c r="BR4" s="352"/>
      <c r="BS4" s="352"/>
      <c r="BT4" s="352"/>
      <c r="BU4" s="352"/>
      <c r="BV4" s="352"/>
      <c r="BW4" s="352"/>
    </row>
    <row r="5" spans="1:75" ht="12.95" customHeight="1" thickBot="1">
      <c r="A5" s="30"/>
      <c r="B5" s="510"/>
      <c r="C5" s="510"/>
      <c r="D5" s="514"/>
      <c r="E5" s="516"/>
      <c r="F5" s="282" t="s">
        <v>425</v>
      </c>
      <c r="G5" s="282" t="s">
        <v>426</v>
      </c>
      <c r="H5" s="219"/>
      <c r="I5" s="219"/>
      <c r="J5" s="219"/>
      <c r="K5" s="219"/>
      <c r="L5" s="219"/>
      <c r="M5" s="219"/>
      <c r="N5" s="219"/>
      <c r="O5" s="60"/>
      <c r="P5" s="399"/>
      <c r="Q5" s="352" t="s">
        <v>352</v>
      </c>
      <c r="R5" s="393"/>
      <c r="S5" s="400" t="s">
        <v>13</v>
      </c>
      <c r="T5" s="401" t="s">
        <v>11</v>
      </c>
      <c r="U5" s="401" t="s">
        <v>12</v>
      </c>
      <c r="V5" s="400" t="s">
        <v>14</v>
      </c>
      <c r="W5" s="400" t="s">
        <v>15</v>
      </c>
      <c r="X5" s="400" t="s">
        <v>16</v>
      </c>
      <c r="Y5" s="400" t="s">
        <v>158</v>
      </c>
      <c r="Z5" s="400" t="s">
        <v>17</v>
      </c>
      <c r="AA5" s="400" t="s">
        <v>18</v>
      </c>
      <c r="AB5" s="400" t="s">
        <v>19</v>
      </c>
      <c r="AC5" s="400" t="s">
        <v>20</v>
      </c>
      <c r="AD5" s="400" t="s">
        <v>21</v>
      </c>
      <c r="AE5" s="400" t="s">
        <v>159</v>
      </c>
      <c r="AF5" s="400" t="s">
        <v>160</v>
      </c>
      <c r="AG5" s="400" t="s">
        <v>161</v>
      </c>
      <c r="AH5" s="400" t="s">
        <v>162</v>
      </c>
      <c r="AI5" s="400" t="s">
        <v>22</v>
      </c>
      <c r="AJ5" s="400" t="s">
        <v>23</v>
      </c>
      <c r="AK5" s="391" t="s">
        <v>352</v>
      </c>
      <c r="AL5" s="393"/>
      <c r="AM5" s="408" t="s">
        <v>13</v>
      </c>
      <c r="AN5" s="409" t="s">
        <v>11</v>
      </c>
      <c r="AO5" s="409" t="s">
        <v>12</v>
      </c>
      <c r="AP5" s="408" t="s">
        <v>14</v>
      </c>
      <c r="AQ5" s="400" t="s">
        <v>15</v>
      </c>
      <c r="AR5" s="400" t="s">
        <v>16</v>
      </c>
      <c r="AS5" s="400" t="s">
        <v>158</v>
      </c>
      <c r="AT5" s="400" t="s">
        <v>17</v>
      </c>
      <c r="AU5" s="400" t="s">
        <v>18</v>
      </c>
      <c r="AV5" s="400" t="s">
        <v>19</v>
      </c>
      <c r="AW5" s="400" t="s">
        <v>20</v>
      </c>
      <c r="AX5" s="400" t="s">
        <v>21</v>
      </c>
      <c r="AY5" s="400" t="s">
        <v>159</v>
      </c>
      <c r="AZ5" s="400" t="s">
        <v>160</v>
      </c>
      <c r="BA5" s="400" t="s">
        <v>161</v>
      </c>
      <c r="BB5" s="400" t="s">
        <v>162</v>
      </c>
      <c r="BC5" s="400" t="s">
        <v>22</v>
      </c>
      <c r="BD5" s="400" t="s">
        <v>23</v>
      </c>
      <c r="BE5" s="391"/>
      <c r="BF5" s="391"/>
      <c r="BG5" s="391"/>
      <c r="BH5" s="391"/>
      <c r="BI5" s="391"/>
      <c r="BJ5" s="391"/>
      <c r="BK5" s="391"/>
      <c r="BL5" s="391"/>
      <c r="BM5" s="352"/>
      <c r="BN5" s="352"/>
      <c r="BO5" s="352"/>
      <c r="BP5" s="352"/>
      <c r="BQ5" s="352"/>
      <c r="BR5" s="352"/>
      <c r="BS5" s="352"/>
      <c r="BT5" s="352"/>
      <c r="BU5" s="352"/>
      <c r="BV5" s="352"/>
      <c r="BW5" s="352"/>
    </row>
    <row r="6" spans="1:75" ht="12" customHeight="1" thickTop="1">
      <c r="A6" s="30"/>
      <c r="B6" s="129" t="str">
        <f>UPPER(LEFT(TRIM(Data!B5),1)) &amp; MID(TRIM(Data!B5),2,50)</f>
        <v>Piktybiniai navikai</v>
      </c>
      <c r="C6" s="129" t="str">
        <f>UPPER(LEFT(TRIM(Data!C5),1)) &amp; MID(TRIM(Data!C5),2,50)</f>
        <v>C00-C96</v>
      </c>
      <c r="D6" s="130">
        <f>Data!D5</f>
        <v>9319</v>
      </c>
      <c r="E6" s="131">
        <f t="shared" ref="E6:E47" si="0">D6/$R$4*100000</f>
        <v>696.52269323104611</v>
      </c>
      <c r="F6" s="132">
        <f>R6/$R$3</f>
        <v>585.24557619127586</v>
      </c>
      <c r="G6" s="133">
        <f t="shared" ref="G6:G47" si="1">AL6/$AL$3</f>
        <v>406.9461378034012</v>
      </c>
      <c r="H6" s="77"/>
      <c r="I6" s="77"/>
      <c r="J6" s="77"/>
      <c r="K6" s="77"/>
      <c r="L6" s="77"/>
      <c r="M6" s="77"/>
      <c r="N6" s="77"/>
      <c r="O6" s="60"/>
      <c r="P6" s="406"/>
      <c r="Q6" s="358" t="s">
        <v>353</v>
      </c>
      <c r="R6" s="397">
        <f t="shared" ref="R6:R47" si="2">SUM(S6:AJ6)</f>
        <v>58524557.619127586</v>
      </c>
      <c r="S6" s="397">
        <f>Data!Q5/S$4*100000*S$3</f>
        <v>268695.66340700933</v>
      </c>
      <c r="T6" s="397">
        <f>Data!R5/T$4*100000*T$3</f>
        <v>98219.422189170611</v>
      </c>
      <c r="U6" s="397">
        <f>Data!S5/U$4*100000*U$3</f>
        <v>101676.20486302764</v>
      </c>
      <c r="V6" s="397">
        <f>Data!T5/V$4*100000*V$3</f>
        <v>65536.934743937833</v>
      </c>
      <c r="W6" s="397">
        <f>Data!U5/W$4*100000*W$3</f>
        <v>142090.76410033347</v>
      </c>
      <c r="X6" s="397">
        <f>Data!V5/X$4*100000*X$3</f>
        <v>229917.09050372744</v>
      </c>
      <c r="Y6" s="397">
        <f>Data!W5/Y$4*100000*Y$3</f>
        <v>317727.41865845962</v>
      </c>
      <c r="Z6" s="397">
        <f>Data!X5/Z$4*100000*Z$3</f>
        <v>522034.4427999403</v>
      </c>
      <c r="AA6" s="397">
        <f>Data!Y5/AA$4*100000*AA$3</f>
        <v>1086284.0905516353</v>
      </c>
      <c r="AB6" s="397">
        <f>Data!Z5/AB$4*100000*AB$3</f>
        <v>1661800.8061501784</v>
      </c>
      <c r="AC6" s="397">
        <f>Data!AA5/AC$4*100000*AC$3</f>
        <v>4693765.6049027769</v>
      </c>
      <c r="AD6" s="397">
        <f>Data!AB5/AD$4*100000*AD$3</f>
        <v>7658700.0965120737</v>
      </c>
      <c r="AE6" s="397">
        <f>Data!AC5/AE$4*100000*AE$3</f>
        <v>9470736.7958713081</v>
      </c>
      <c r="AF6" s="397">
        <f>Data!AD5/AF$4*100000*AF$3</f>
        <v>10852361.069862511</v>
      </c>
      <c r="AG6" s="397">
        <f>Data!AE5/AG$4*100000*AG$3</f>
        <v>9503782.9155923743</v>
      </c>
      <c r="AH6" s="397">
        <f>Data!AF5/AH$4*100000*AH$3</f>
        <v>5596457.938013915</v>
      </c>
      <c r="AI6" s="397">
        <f>Data!AG5/AI$4*100000*AI$3</f>
        <v>3017760.990114924</v>
      </c>
      <c r="AJ6" s="397">
        <f>Data!AH5/AJ$4*100000*AJ$3</f>
        <v>3237009.3702902822</v>
      </c>
      <c r="AK6" s="402" t="s">
        <v>353</v>
      </c>
      <c r="AL6" s="397">
        <f t="shared" ref="AL6:AL47" si="3">SUM(AM6:BD6)</f>
        <v>40694613.78034012</v>
      </c>
      <c r="AM6" s="397">
        <f>Data!Q5/AM$4*100000*AM$3</f>
        <v>403043.49511051393</v>
      </c>
      <c r="AN6" s="397">
        <f>Data!R5/AN$4*100000*AN$3</f>
        <v>140313.46027024373</v>
      </c>
      <c r="AO6" s="397">
        <f>Data!S5/AO$4*100000*AO$3</f>
        <v>130726.54910960696</v>
      </c>
      <c r="AP6" s="397">
        <f>Data!T5/AP$4*100000*AP$3</f>
        <v>84261.773242205789</v>
      </c>
      <c r="AQ6" s="397">
        <f>Data!U5/AQ$4*100000*AQ$3</f>
        <v>162389.4446860954</v>
      </c>
      <c r="AR6" s="397">
        <f>Data!V5/AR$4*100000*AR$3</f>
        <v>262762.38914711704</v>
      </c>
      <c r="AS6" s="397">
        <f>Data!W5/AS$4*100000*AS$3</f>
        <v>272337.78742153681</v>
      </c>
      <c r="AT6" s="397">
        <f>Data!X5/AT$4*100000*AT$3</f>
        <v>447458.09382852027</v>
      </c>
      <c r="AU6" s="397">
        <f>Data!Y5/AU$4*100000*AU$3</f>
        <v>931100.64904425887</v>
      </c>
      <c r="AV6" s="397">
        <f>Data!Z5/AV$4*100000*AV$3</f>
        <v>1424400.6909858671</v>
      </c>
      <c r="AW6" s="397">
        <f>Data!AA5/AW$4*100000*AW$3</f>
        <v>3352689.7177876974</v>
      </c>
      <c r="AX6" s="397">
        <f>Data!AB5/AX$4*100000*AX$3</f>
        <v>5105800.0643413821</v>
      </c>
      <c r="AY6" s="397">
        <f>Data!AC5/AY$4*100000*AY$3</f>
        <v>7576589.4366970472</v>
      </c>
      <c r="AZ6" s="397">
        <f>Data!AD5/AZ$4*100000*AZ$3</f>
        <v>8139270.8023968833</v>
      </c>
      <c r="BA6" s="397">
        <f>Data!AE5/BA$4*100000*BA$3</f>
        <v>6335855.2770615835</v>
      </c>
      <c r="BB6" s="397">
        <f>Data!AF5/BB$4*100000*BB$3</f>
        <v>2798228.9690069575</v>
      </c>
      <c r="BC6" s="397">
        <f>Data!AG5/BC$4*100000*BC$3</f>
        <v>1508880.495057462</v>
      </c>
      <c r="BD6" s="397">
        <f>Data!AH5/BD$4*100000*BD$3</f>
        <v>1618504.6851451411</v>
      </c>
      <c r="BE6" s="391"/>
      <c r="BF6" s="391"/>
      <c r="BG6" s="391"/>
      <c r="BH6" s="391"/>
      <c r="BI6" s="391"/>
      <c r="BJ6" s="391"/>
      <c r="BK6" s="391"/>
      <c r="BL6" s="391"/>
      <c r="BM6" s="352"/>
      <c r="BN6" s="352"/>
      <c r="BO6" s="352"/>
      <c r="BP6" s="352"/>
      <c r="BQ6" s="352"/>
      <c r="BR6" s="352"/>
      <c r="BS6" s="352"/>
      <c r="BT6" s="352"/>
      <c r="BU6" s="352"/>
      <c r="BV6" s="352"/>
      <c r="BW6" s="352"/>
    </row>
    <row r="7" spans="1:75" ht="12" customHeight="1">
      <c r="A7" s="30"/>
      <c r="B7" s="134" t="str">
        <f>UPPER(LEFT(TRIM(Data!B6),1)) &amp; MID(TRIM(Data!B6),2,50)</f>
        <v>Lūpos</v>
      </c>
      <c r="C7" s="134" t="str">
        <f>UPPER(LEFT(TRIM(Data!C6),1)) &amp; MID(TRIM(Data!C6),2,50)</f>
        <v>C00</v>
      </c>
      <c r="D7" s="135">
        <f>Data!D6</f>
        <v>11</v>
      </c>
      <c r="E7" s="136">
        <f t="shared" si="0"/>
        <v>0.82216435513912511</v>
      </c>
      <c r="F7" s="137">
        <f>R7/$R$3</f>
        <v>0.60894844090761724</v>
      </c>
      <c r="G7" s="137">
        <f t="shared" si="1"/>
        <v>0.3605478176813241</v>
      </c>
      <c r="H7" s="77"/>
      <c r="I7" s="77"/>
      <c r="J7" s="77"/>
      <c r="K7" s="77"/>
      <c r="L7" s="77"/>
      <c r="M7" s="77"/>
      <c r="N7" s="77"/>
      <c r="O7" s="60"/>
      <c r="P7" s="407"/>
      <c r="Q7" s="358" t="s">
        <v>353</v>
      </c>
      <c r="R7" s="356">
        <f t="shared" si="2"/>
        <v>60894.844090761726</v>
      </c>
      <c r="S7" s="356">
        <f>Data!Q6/S$4*100000*S$3</f>
        <v>0</v>
      </c>
      <c r="T7" s="356">
        <f>Data!R6/T$4*100000*T$3</f>
        <v>0</v>
      </c>
      <c r="U7" s="356">
        <f>Data!S6/U$4*100000*U$3</f>
        <v>0</v>
      </c>
      <c r="V7" s="356">
        <f>Data!T6/V$4*100000*V$3</f>
        <v>0</v>
      </c>
      <c r="W7" s="356">
        <f>Data!U6/W$4*100000*W$3</f>
        <v>0</v>
      </c>
      <c r="X7" s="356">
        <f>Data!V6/X$4*100000*X$3</f>
        <v>0</v>
      </c>
      <c r="Y7" s="356">
        <f>Data!W6/Y$4*100000*Y$3</f>
        <v>0</v>
      </c>
      <c r="Z7" s="356">
        <f>Data!X6/Z$4*100000*Z$3</f>
        <v>0</v>
      </c>
      <c r="AA7" s="356">
        <f>Data!Y6/AA$4*100000*AA$3</f>
        <v>0</v>
      </c>
      <c r="AB7" s="356">
        <f>Data!Z6/AB$4*100000*AB$3</f>
        <v>0</v>
      </c>
      <c r="AC7" s="356">
        <f>Data!AA6/AC$4*100000*AC$3</f>
        <v>0</v>
      </c>
      <c r="AD7" s="356">
        <f>Data!AB6/AD$4*100000*AD$3</f>
        <v>0</v>
      </c>
      <c r="AE7" s="356">
        <f>Data!AC6/AE$4*100000*AE$3</f>
        <v>0</v>
      </c>
      <c r="AF7" s="356">
        <f>Data!AD6/AF$4*100000*AF$3</f>
        <v>13975.996226481018</v>
      </c>
      <c r="AG7" s="356">
        <f>Data!AE6/AG$4*100000*AG$3</f>
        <v>12680.163996787691</v>
      </c>
      <c r="AH7" s="356">
        <f>Data!AF6/AH$4*100000*AH$3</f>
        <v>5060.0885515496529</v>
      </c>
      <c r="AI7" s="356">
        <f>Data!AG6/AI$4*100000*AI$3</f>
        <v>16073.294221650727</v>
      </c>
      <c r="AJ7" s="356">
        <f>Data!AH6/AJ$4*100000*AJ$3</f>
        <v>13105.301094292641</v>
      </c>
      <c r="AK7" s="358" t="s">
        <v>353</v>
      </c>
      <c r="AL7" s="356">
        <f t="shared" si="3"/>
        <v>36054.781768132409</v>
      </c>
      <c r="AM7" s="356">
        <f>Data!Q6/AM$4*100000*AM$3</f>
        <v>0</v>
      </c>
      <c r="AN7" s="356">
        <f>Data!R6/AN$4*100000*AN$3</f>
        <v>0</v>
      </c>
      <c r="AO7" s="356">
        <f>Data!S6/AO$4*100000*AO$3</f>
        <v>0</v>
      </c>
      <c r="AP7" s="356">
        <f>Data!T6/AP$4*100000*AP$3</f>
        <v>0</v>
      </c>
      <c r="AQ7" s="356">
        <f>Data!U6/AQ$4*100000*AQ$3</f>
        <v>0</v>
      </c>
      <c r="AR7" s="356">
        <f>Data!V6/AR$4*100000*AR$3</f>
        <v>0</v>
      </c>
      <c r="AS7" s="356">
        <f>Data!W6/AS$4*100000*AS$3</f>
        <v>0</v>
      </c>
      <c r="AT7" s="356">
        <f>Data!X6/AT$4*100000*AT$3</f>
        <v>0</v>
      </c>
      <c r="AU7" s="356">
        <f>Data!Y6/AU$4*100000*AU$3</f>
        <v>0</v>
      </c>
      <c r="AV7" s="356">
        <f>Data!Z6/AV$4*100000*AV$3</f>
        <v>0</v>
      </c>
      <c r="AW7" s="356">
        <f>Data!AA6/AW$4*100000*AW$3</f>
        <v>0</v>
      </c>
      <c r="AX7" s="356">
        <f>Data!AB6/AX$4*100000*AX$3</f>
        <v>0</v>
      </c>
      <c r="AY7" s="356">
        <f>Data!AC6/AY$4*100000*AY$3</f>
        <v>0</v>
      </c>
      <c r="AZ7" s="356">
        <f>Data!AD6/AZ$4*100000*AZ$3</f>
        <v>10481.997169860764</v>
      </c>
      <c r="BA7" s="356">
        <f>Data!AE6/BA$4*100000*BA$3</f>
        <v>8453.4426645251278</v>
      </c>
      <c r="BB7" s="356">
        <f>Data!AF6/BB$4*100000*BB$3</f>
        <v>2530.0442757748265</v>
      </c>
      <c r="BC7" s="356">
        <f>Data!AG6/BC$4*100000*BC$3</f>
        <v>8036.6471108253636</v>
      </c>
      <c r="BD7" s="356">
        <f>Data!AH6/BD$4*100000*BD$3</f>
        <v>6552.6505471463206</v>
      </c>
      <c r="BE7" s="352"/>
      <c r="BF7" s="352"/>
      <c r="BG7" s="352"/>
      <c r="BH7" s="352"/>
      <c r="BI7" s="352"/>
      <c r="BJ7" s="352"/>
      <c r="BK7" s="352"/>
      <c r="BL7" s="352"/>
      <c r="BM7" s="352"/>
      <c r="BN7" s="352"/>
      <c r="BO7" s="352"/>
      <c r="BP7" s="352"/>
      <c r="BQ7" s="352"/>
      <c r="BR7" s="352"/>
      <c r="BS7" s="352"/>
      <c r="BT7" s="352"/>
      <c r="BU7" s="352"/>
      <c r="BV7" s="352"/>
      <c r="BW7" s="352"/>
    </row>
    <row r="8" spans="1:75" ht="12" customHeight="1">
      <c r="A8" s="30"/>
      <c r="B8" s="129" t="str">
        <f>UPPER(LEFT(TRIM(Data!B7),1)) &amp; MID(TRIM(Data!B7),2,50)</f>
        <v>Burnos ertmės ir ryklės</v>
      </c>
      <c r="C8" s="129" t="str">
        <f>UPPER(LEFT(TRIM(Data!C7),1)) &amp; MID(TRIM(Data!C7),2,50)</f>
        <v>C01-C14</v>
      </c>
      <c r="D8" s="130">
        <f>Data!D7</f>
        <v>292</v>
      </c>
      <c r="E8" s="131">
        <f t="shared" si="0"/>
        <v>21.824726518238595</v>
      </c>
      <c r="F8" s="132">
        <f t="shared" ref="F8:F47" si="4">R8/$R$3</f>
        <v>19.297140675501616</v>
      </c>
      <c r="G8" s="133">
        <f t="shared" si="1"/>
        <v>14.219468801503899</v>
      </c>
      <c r="H8" s="77"/>
      <c r="I8" s="77"/>
      <c r="J8" s="77"/>
      <c r="K8" s="77"/>
      <c r="L8" s="77"/>
      <c r="M8" s="77"/>
      <c r="N8" s="77"/>
      <c r="O8" s="60"/>
      <c r="P8" s="389"/>
      <c r="Q8" s="358" t="s">
        <v>353</v>
      </c>
      <c r="R8" s="356">
        <f t="shared" si="2"/>
        <v>1929714.0675501616</v>
      </c>
      <c r="S8" s="356">
        <f>Data!Q7/S$4*100000*S$3</f>
        <v>0</v>
      </c>
      <c r="T8" s="356">
        <f>Data!R7/T$4*100000*T$3</f>
        <v>0</v>
      </c>
      <c r="U8" s="356">
        <f>Data!S7/U$4*100000*U$3</f>
        <v>0</v>
      </c>
      <c r="V8" s="356">
        <f>Data!T7/V$4*100000*V$3</f>
        <v>0</v>
      </c>
      <c r="W8" s="356">
        <f>Data!U7/W$4*100000*W$3</f>
        <v>6766.2268619206407</v>
      </c>
      <c r="X8" s="356">
        <f>Data!V7/X$4*100000*X$3</f>
        <v>6967.1845607190135</v>
      </c>
      <c r="Y8" s="356">
        <f>Data!W7/Y$4*100000*Y$3</f>
        <v>7749.4492355721868</v>
      </c>
      <c r="Z8" s="356">
        <f>Data!X7/Z$4*100000*Z$3</f>
        <v>8031.299119999082</v>
      </c>
      <c r="AA8" s="356">
        <f>Data!Y7/AA$4*100000*AA$3</f>
        <v>110096.36052888195</v>
      </c>
      <c r="AB8" s="356">
        <f>Data!Z7/AB$4*100000*AB$3</f>
        <v>162644.33421895362</v>
      </c>
      <c r="AC8" s="356">
        <f>Data!AA7/AC$4*100000*AC$3</f>
        <v>258190.20957857306</v>
      </c>
      <c r="AD8" s="356">
        <f>Data!AB7/AD$4*100000*AD$3</f>
        <v>392274.88299208187</v>
      </c>
      <c r="AE8" s="356">
        <f>Data!AC7/AE$4*100000*AE$3</f>
        <v>384319.75403535744</v>
      </c>
      <c r="AF8" s="356">
        <f>Data!AD7/AF$4*100000*AF$3</f>
        <v>335423.90943554451</v>
      </c>
      <c r="AG8" s="356">
        <f>Data!AE7/AG$4*100000*AG$3</f>
        <v>152161.96796145232</v>
      </c>
      <c r="AH8" s="356">
        <f>Data!AF7/AH$4*100000*AH$3</f>
        <v>70841.239721695136</v>
      </c>
      <c r="AI8" s="356">
        <f>Data!AG7/AI$4*100000*AI$3</f>
        <v>8036.6471108253636</v>
      </c>
      <c r="AJ8" s="356">
        <f>Data!AH7/AJ$4*100000*AJ$3</f>
        <v>26210.602188585282</v>
      </c>
      <c r="AK8" s="358" t="s">
        <v>353</v>
      </c>
      <c r="AL8" s="356">
        <f t="shared" si="3"/>
        <v>1421946.8801503899</v>
      </c>
      <c r="AM8" s="356">
        <f>Data!Q7/AM$4*100000*AM$3</f>
        <v>0</v>
      </c>
      <c r="AN8" s="356">
        <f>Data!R7/AN$4*100000*AN$3</f>
        <v>0</v>
      </c>
      <c r="AO8" s="356">
        <f>Data!S7/AO$4*100000*AO$3</f>
        <v>0</v>
      </c>
      <c r="AP8" s="356">
        <f>Data!T7/AP$4*100000*AP$3</f>
        <v>0</v>
      </c>
      <c r="AQ8" s="356">
        <f>Data!U7/AQ$4*100000*AQ$3</f>
        <v>7732.8306993378756</v>
      </c>
      <c r="AR8" s="356">
        <f>Data!V7/AR$4*100000*AR$3</f>
        <v>7962.4966408217297</v>
      </c>
      <c r="AS8" s="356">
        <f>Data!W7/AS$4*100000*AS$3</f>
        <v>6642.3850590618749</v>
      </c>
      <c r="AT8" s="356">
        <f>Data!X7/AT$4*100000*AT$3</f>
        <v>6883.9706742849276</v>
      </c>
      <c r="AU8" s="356">
        <f>Data!Y7/AU$4*100000*AU$3</f>
        <v>94368.309024755959</v>
      </c>
      <c r="AV8" s="356">
        <f>Data!Z7/AV$4*100000*AV$3</f>
        <v>139409.42933053165</v>
      </c>
      <c r="AW8" s="356">
        <f>Data!AA7/AW$4*100000*AW$3</f>
        <v>184421.57827040934</v>
      </c>
      <c r="AX8" s="356">
        <f>Data!AB7/AX$4*100000*AX$3</f>
        <v>261516.58866138791</v>
      </c>
      <c r="AY8" s="356">
        <f>Data!AC7/AY$4*100000*AY$3</f>
        <v>307455.80322828598</v>
      </c>
      <c r="AZ8" s="356">
        <f>Data!AD7/AZ$4*100000*AZ$3</f>
        <v>251567.93207665836</v>
      </c>
      <c r="BA8" s="356">
        <f>Data!AE7/BA$4*100000*BA$3</f>
        <v>101441.31197430154</v>
      </c>
      <c r="BB8" s="356">
        <f>Data!AF7/BB$4*100000*BB$3</f>
        <v>35420.619860847568</v>
      </c>
      <c r="BC8" s="356">
        <f>Data!AG7/BC$4*100000*BC$3</f>
        <v>4018.3235554126818</v>
      </c>
      <c r="BD8" s="356">
        <f>Data!AH7/BD$4*100000*BD$3</f>
        <v>13105.301094292641</v>
      </c>
      <c r="BE8" s="352"/>
      <c r="BF8" s="352"/>
      <c r="BG8" s="352"/>
      <c r="BH8" s="352"/>
      <c r="BI8" s="352"/>
      <c r="BJ8" s="352"/>
      <c r="BK8" s="352"/>
      <c r="BL8" s="352"/>
      <c r="BM8" s="352"/>
      <c r="BN8" s="352"/>
      <c r="BO8" s="352"/>
      <c r="BP8" s="352"/>
      <c r="BQ8" s="352"/>
      <c r="BR8" s="352"/>
      <c r="BS8" s="352"/>
      <c r="BT8" s="352"/>
      <c r="BU8" s="352"/>
      <c r="BV8" s="352"/>
      <c r="BW8" s="352"/>
    </row>
    <row r="9" spans="1:75" ht="12" customHeight="1">
      <c r="A9" s="30"/>
      <c r="B9" s="134" t="str">
        <f>UPPER(LEFT(TRIM(Data!B8),1)) &amp; MID(TRIM(Data!B8),2,50)</f>
        <v>Stemplės</v>
      </c>
      <c r="C9" s="134" t="str">
        <f>UPPER(LEFT(TRIM(Data!C8),1)) &amp; MID(TRIM(Data!C8),2,50)</f>
        <v>C15</v>
      </c>
      <c r="D9" s="135">
        <f>Data!D8</f>
        <v>180</v>
      </c>
      <c r="E9" s="136">
        <f t="shared" si="0"/>
        <v>13.453598538640231</v>
      </c>
      <c r="F9" s="137">
        <f t="shared" si="4"/>
        <v>11.521841962212587</v>
      </c>
      <c r="G9" s="137">
        <f t="shared" si="1"/>
        <v>8.2179672794434921</v>
      </c>
      <c r="H9" s="77"/>
      <c r="I9" s="77"/>
      <c r="J9" s="77"/>
      <c r="K9" s="77"/>
      <c r="L9" s="77"/>
      <c r="M9" s="77"/>
      <c r="N9" s="77"/>
      <c r="O9" s="60"/>
      <c r="P9" s="389"/>
      <c r="Q9" s="358" t="s">
        <v>353</v>
      </c>
      <c r="R9" s="356">
        <f t="shared" si="2"/>
        <v>1152184.1962212587</v>
      </c>
      <c r="S9" s="356">
        <f>Data!Q8/S$4*100000*S$3</f>
        <v>0</v>
      </c>
      <c r="T9" s="356">
        <f>Data!R8/T$4*100000*T$3</f>
        <v>0</v>
      </c>
      <c r="U9" s="356">
        <f>Data!S8/U$4*100000*U$3</f>
        <v>0</v>
      </c>
      <c r="V9" s="356">
        <f>Data!T8/V$4*100000*V$3</f>
        <v>0</v>
      </c>
      <c r="W9" s="356">
        <f>Data!U8/W$4*100000*W$3</f>
        <v>0</v>
      </c>
      <c r="X9" s="356">
        <f>Data!V8/X$4*100000*X$3</f>
        <v>0</v>
      </c>
      <c r="Y9" s="356">
        <f>Data!W8/Y$4*100000*Y$3</f>
        <v>0</v>
      </c>
      <c r="Z9" s="356">
        <f>Data!X8/Z$4*100000*Z$3</f>
        <v>0</v>
      </c>
      <c r="AA9" s="356">
        <f>Data!Y8/AA$4*100000*AA$3</f>
        <v>44038.544211552777</v>
      </c>
      <c r="AB9" s="356">
        <f>Data!Z8/AB$4*100000*AB$3</f>
        <v>42428.956752770508</v>
      </c>
      <c r="AC9" s="356">
        <f>Data!AA8/AC$4*100000*AC$3</f>
        <v>92683.664976923654</v>
      </c>
      <c r="AD9" s="356">
        <f>Data!AB8/AD$4*100000*AD$3</f>
        <v>143211.46521933147</v>
      </c>
      <c r="AE9" s="356">
        <f>Data!AC8/AE$4*100000*AE$3</f>
        <v>253925.55177336116</v>
      </c>
      <c r="AF9" s="356">
        <f>Data!AD8/AF$4*100000*AF$3</f>
        <v>265543.92830313934</v>
      </c>
      <c r="AG9" s="356">
        <f>Data!AE8/AG$4*100000*AG$3</f>
        <v>171182.21395663384</v>
      </c>
      <c r="AH9" s="356">
        <f>Data!AF8/AH$4*100000*AH$3</f>
        <v>60721.062618595832</v>
      </c>
      <c r="AI9" s="356">
        <f>Data!AG8/AI$4*100000*AI$3</f>
        <v>52238.206220364867</v>
      </c>
      <c r="AJ9" s="356">
        <f>Data!AH8/AJ$4*100000*AJ$3</f>
        <v>26210.602188585282</v>
      </c>
      <c r="AK9" s="358" t="s">
        <v>353</v>
      </c>
      <c r="AL9" s="356">
        <f t="shared" si="3"/>
        <v>821796.72794434917</v>
      </c>
      <c r="AM9" s="356">
        <f>Data!Q8/AM$4*100000*AM$3</f>
        <v>0</v>
      </c>
      <c r="AN9" s="356">
        <f>Data!R8/AN$4*100000*AN$3</f>
        <v>0</v>
      </c>
      <c r="AO9" s="356">
        <f>Data!S8/AO$4*100000*AO$3</f>
        <v>0</v>
      </c>
      <c r="AP9" s="356">
        <f>Data!T8/AP$4*100000*AP$3</f>
        <v>0</v>
      </c>
      <c r="AQ9" s="356">
        <f>Data!U8/AQ$4*100000*AQ$3</f>
        <v>0</v>
      </c>
      <c r="AR9" s="356">
        <f>Data!V8/AR$4*100000*AR$3</f>
        <v>0</v>
      </c>
      <c r="AS9" s="356">
        <f>Data!W8/AS$4*100000*AS$3</f>
        <v>0</v>
      </c>
      <c r="AT9" s="356">
        <f>Data!X8/AT$4*100000*AT$3</f>
        <v>0</v>
      </c>
      <c r="AU9" s="356">
        <f>Data!Y8/AU$4*100000*AU$3</f>
        <v>37747.323609902385</v>
      </c>
      <c r="AV9" s="356">
        <f>Data!Z8/AV$4*100000*AV$3</f>
        <v>36367.677216660435</v>
      </c>
      <c r="AW9" s="356">
        <f>Data!AA8/AW$4*100000*AW$3</f>
        <v>66202.617840659746</v>
      </c>
      <c r="AX9" s="356">
        <f>Data!AB8/AX$4*100000*AX$3</f>
        <v>95474.310146220989</v>
      </c>
      <c r="AY9" s="356">
        <f>Data!AC8/AY$4*100000*AY$3</f>
        <v>203140.44141868895</v>
      </c>
      <c r="AZ9" s="356">
        <f>Data!AD8/AZ$4*100000*AZ$3</f>
        <v>199157.94622735452</v>
      </c>
      <c r="BA9" s="356">
        <f>Data!AE8/BA$4*100000*BA$3</f>
        <v>114121.47597108922</v>
      </c>
      <c r="BB9" s="356">
        <f>Data!AF8/BB$4*100000*BB$3</f>
        <v>30360.531309297916</v>
      </c>
      <c r="BC9" s="356">
        <f>Data!AG8/BC$4*100000*BC$3</f>
        <v>26119.103110182434</v>
      </c>
      <c r="BD9" s="356">
        <f>Data!AH8/BD$4*100000*BD$3</f>
        <v>13105.301094292641</v>
      </c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  <c r="BW9" s="352"/>
    </row>
    <row r="10" spans="1:75" ht="12" customHeight="1">
      <c r="A10" s="30"/>
      <c r="B10" s="129" t="str">
        <f>UPPER(LEFT(TRIM(Data!B9),1)) &amp; MID(TRIM(Data!B9),2,50)</f>
        <v>Skrandžio</v>
      </c>
      <c r="C10" s="129" t="str">
        <f>UPPER(LEFT(TRIM(Data!C9),1)) &amp; MID(TRIM(Data!C9),2,50)</f>
        <v>C16</v>
      </c>
      <c r="D10" s="130">
        <f>Data!D9</f>
        <v>491</v>
      </c>
      <c r="E10" s="131">
        <f t="shared" si="0"/>
        <v>36.698427124846404</v>
      </c>
      <c r="F10" s="132">
        <f t="shared" si="4"/>
        <v>29.964353746111399</v>
      </c>
      <c r="G10" s="133">
        <f t="shared" si="1"/>
        <v>19.949846368274791</v>
      </c>
      <c r="H10" s="77"/>
      <c r="I10" s="77"/>
      <c r="J10" s="77"/>
      <c r="K10" s="77"/>
      <c r="L10" s="77"/>
      <c r="M10" s="77"/>
      <c r="N10" s="77"/>
      <c r="O10" s="60"/>
      <c r="P10" s="389"/>
      <c r="Q10" s="358" t="s">
        <v>353</v>
      </c>
      <c r="R10" s="356">
        <f t="shared" si="2"/>
        <v>2996435.3746111398</v>
      </c>
      <c r="S10" s="356">
        <f>Data!Q9/S$4*100000*S$3</f>
        <v>0</v>
      </c>
      <c r="T10" s="356">
        <f>Data!R9/T$4*100000*T$3</f>
        <v>0</v>
      </c>
      <c r="U10" s="356">
        <f>Data!S9/U$4*100000*U$3</f>
        <v>0</v>
      </c>
      <c r="V10" s="356">
        <f>Data!T9/V$4*100000*V$3</f>
        <v>0</v>
      </c>
      <c r="W10" s="356">
        <f>Data!U9/W$4*100000*W$3</f>
        <v>0</v>
      </c>
      <c r="X10" s="356">
        <f>Data!V9/X$4*100000*X$3</f>
        <v>6967.1845607190135</v>
      </c>
      <c r="Y10" s="356">
        <f>Data!W9/Y$4*100000*Y$3</f>
        <v>0</v>
      </c>
      <c r="Z10" s="356">
        <f>Data!X9/Z$4*100000*Z$3</f>
        <v>32125.196479996328</v>
      </c>
      <c r="AA10" s="356">
        <f>Data!Y9/AA$4*100000*AA$3</f>
        <v>88077.088423105553</v>
      </c>
      <c r="AB10" s="356">
        <f>Data!Z9/AB$4*100000*AB$3</f>
        <v>120215.37746618311</v>
      </c>
      <c r="AC10" s="356">
        <f>Data!AA9/AC$4*100000*AC$3</f>
        <v>244949.6860104411</v>
      </c>
      <c r="AD10" s="356">
        <f>Data!AB9/AD$4*100000*AD$3</f>
        <v>280196.34499434417</v>
      </c>
      <c r="AE10" s="356">
        <f>Data!AC9/AE$4*100000*AE$3</f>
        <v>411771.16503788298</v>
      </c>
      <c r="AF10" s="356">
        <f>Data!AD9/AF$4*100000*AF$3</f>
        <v>426267.88490767108</v>
      </c>
      <c r="AG10" s="356">
        <f>Data!AE9/AG$4*100000*AG$3</f>
        <v>462825.98588275083</v>
      </c>
      <c r="AH10" s="356">
        <f>Data!AF9/AH$4*100000*AH$3</f>
        <v>470588.23529411765</v>
      </c>
      <c r="AI10" s="356">
        <f>Data!AG9/AI$4*100000*AI$3</f>
        <v>196897.85421522139</v>
      </c>
      <c r="AJ10" s="356">
        <f>Data!AH9/AJ$4*100000*AJ$3</f>
        <v>255553.37133870652</v>
      </c>
      <c r="AK10" s="358" t="s">
        <v>353</v>
      </c>
      <c r="AL10" s="356">
        <f t="shared" si="3"/>
        <v>1994984.6368274791</v>
      </c>
      <c r="AM10" s="356">
        <f>Data!Q9/AM$4*100000*AM$3</f>
        <v>0</v>
      </c>
      <c r="AN10" s="356">
        <f>Data!R9/AN$4*100000*AN$3</f>
        <v>0</v>
      </c>
      <c r="AO10" s="356">
        <f>Data!S9/AO$4*100000*AO$3</f>
        <v>0</v>
      </c>
      <c r="AP10" s="356">
        <f>Data!T9/AP$4*100000*AP$3</f>
        <v>0</v>
      </c>
      <c r="AQ10" s="356">
        <f>Data!U9/AQ$4*100000*AQ$3</f>
        <v>0</v>
      </c>
      <c r="AR10" s="356">
        <f>Data!V9/AR$4*100000*AR$3</f>
        <v>7962.4966408217297</v>
      </c>
      <c r="AS10" s="356">
        <f>Data!W9/AS$4*100000*AS$3</f>
        <v>0</v>
      </c>
      <c r="AT10" s="356">
        <f>Data!X9/AT$4*100000*AT$3</f>
        <v>27535.88269713971</v>
      </c>
      <c r="AU10" s="356">
        <f>Data!Y9/AU$4*100000*AU$3</f>
        <v>75494.64721980477</v>
      </c>
      <c r="AV10" s="356">
        <f>Data!Z9/AV$4*100000*AV$3</f>
        <v>103041.75211387125</v>
      </c>
      <c r="AW10" s="356">
        <f>Data!AA9/AW$4*100000*AW$3</f>
        <v>174964.06143602935</v>
      </c>
      <c r="AX10" s="356">
        <f>Data!AB9/AX$4*100000*AX$3</f>
        <v>186797.56332956278</v>
      </c>
      <c r="AY10" s="356">
        <f>Data!AC9/AY$4*100000*AY$3</f>
        <v>329416.93203030637</v>
      </c>
      <c r="AZ10" s="356">
        <f>Data!AD9/AZ$4*100000*AZ$3</f>
        <v>319700.91368075332</v>
      </c>
      <c r="BA10" s="356">
        <f>Data!AE9/BA$4*100000*BA$3</f>
        <v>308550.6572551672</v>
      </c>
      <c r="BB10" s="356">
        <f>Data!AF9/BB$4*100000*BB$3</f>
        <v>235294.11764705883</v>
      </c>
      <c r="BC10" s="356">
        <f>Data!AG9/BC$4*100000*BC$3</f>
        <v>98448.927107610696</v>
      </c>
      <c r="BD10" s="356">
        <f>Data!AH9/BD$4*100000*BD$3</f>
        <v>127776.68566935326</v>
      </c>
      <c r="BE10" s="352"/>
      <c r="BF10" s="352"/>
      <c r="BG10" s="352"/>
      <c r="BH10" s="352"/>
      <c r="BI10" s="352"/>
      <c r="BJ10" s="352"/>
      <c r="BK10" s="352"/>
      <c r="BL10" s="352"/>
      <c r="BM10" s="352"/>
      <c r="BN10" s="352"/>
      <c r="BO10" s="352"/>
      <c r="BP10" s="352"/>
      <c r="BQ10" s="352"/>
      <c r="BR10" s="352"/>
      <c r="BS10" s="352"/>
      <c r="BT10" s="352"/>
      <c r="BU10" s="352"/>
      <c r="BV10" s="352"/>
      <c r="BW10" s="352"/>
    </row>
    <row r="11" spans="1:75" ht="12" customHeight="1">
      <c r="A11" s="30"/>
      <c r="B11" s="134" t="str">
        <f>UPPER(LEFT(TRIM(Data!B10),1)) &amp; MID(TRIM(Data!B10),2,50)</f>
        <v>Gaubtinės žarnos</v>
      </c>
      <c r="C11" s="134" t="str">
        <f>UPPER(LEFT(TRIM(Data!C10),1)) &amp; MID(TRIM(Data!C10),2,50)</f>
        <v>C18</v>
      </c>
      <c r="D11" s="135">
        <f>Data!D10</f>
        <v>421</v>
      </c>
      <c r="E11" s="136">
        <f t="shared" si="0"/>
        <v>31.466472137597428</v>
      </c>
      <c r="F11" s="137">
        <f t="shared" si="4"/>
        <v>25.739780199621482</v>
      </c>
      <c r="G11" s="137">
        <f t="shared" si="1"/>
        <v>17.233254939685725</v>
      </c>
      <c r="H11" s="77"/>
      <c r="I11" s="77"/>
      <c r="J11" s="77"/>
      <c r="K11" s="77"/>
      <c r="L11" s="77"/>
      <c r="M11" s="77"/>
      <c r="N11" s="77"/>
      <c r="O11" s="60"/>
      <c r="P11" s="389"/>
      <c r="Q11" s="358" t="s">
        <v>353</v>
      </c>
      <c r="R11" s="356">
        <f t="shared" si="2"/>
        <v>2573978.0199621483</v>
      </c>
      <c r="S11" s="356">
        <f>Data!Q10/S$4*100000*S$3</f>
        <v>0</v>
      </c>
      <c r="T11" s="356">
        <f>Data!R10/T$4*100000*T$3</f>
        <v>0</v>
      </c>
      <c r="U11" s="356">
        <f>Data!S10/U$4*100000*U$3</f>
        <v>0</v>
      </c>
      <c r="V11" s="356">
        <f>Data!T10/V$4*100000*V$3</f>
        <v>0</v>
      </c>
      <c r="W11" s="356">
        <f>Data!U10/W$4*100000*W$3</f>
        <v>13532.453723841281</v>
      </c>
      <c r="X11" s="356">
        <f>Data!V10/X$4*100000*X$3</f>
        <v>6967.1845607190135</v>
      </c>
      <c r="Y11" s="356">
        <f>Data!W10/Y$4*100000*Y$3</f>
        <v>23248.347706716562</v>
      </c>
      <c r="Z11" s="356">
        <f>Data!X10/Z$4*100000*Z$3</f>
        <v>40156.495599995411</v>
      </c>
      <c r="AA11" s="356">
        <f>Data!Y10/AA$4*100000*AA$3</f>
        <v>29359.029474368523</v>
      </c>
      <c r="AB11" s="356">
        <f>Data!Z10/AB$4*100000*AB$3</f>
        <v>42428.956752770508</v>
      </c>
      <c r="AC11" s="356">
        <f>Data!AA10/AC$4*100000*AC$3</f>
        <v>105924.18854505561</v>
      </c>
      <c r="AD11" s="356">
        <f>Data!AB10/AD$4*100000*AD$3</f>
        <v>224157.07599547532</v>
      </c>
      <c r="AE11" s="356">
        <f>Data!AC10/AE$4*100000*AE$3</f>
        <v>315691.22652904358</v>
      </c>
      <c r="AF11" s="356">
        <f>Data!AD10/AF$4*100000*AF$3</f>
        <v>538075.85471951927</v>
      </c>
      <c r="AG11" s="356">
        <f>Data!AE10/AG$4*100000*AG$3</f>
        <v>513546.6418699015</v>
      </c>
      <c r="AH11" s="356">
        <f>Data!AF10/AH$4*100000*AH$3</f>
        <v>333965.84440227709</v>
      </c>
      <c r="AI11" s="356">
        <f>Data!AG10/AI$4*100000*AI$3</f>
        <v>196897.85421522139</v>
      </c>
      <c r="AJ11" s="356">
        <f>Data!AH10/AJ$4*100000*AJ$3</f>
        <v>190026.86586724332</v>
      </c>
      <c r="AK11" s="358" t="s">
        <v>353</v>
      </c>
      <c r="AL11" s="356">
        <f t="shared" si="3"/>
        <v>1723325.4939685725</v>
      </c>
      <c r="AM11" s="356">
        <f>Data!Q10/AM$4*100000*AM$3</f>
        <v>0</v>
      </c>
      <c r="AN11" s="356">
        <f>Data!R10/AN$4*100000*AN$3</f>
        <v>0</v>
      </c>
      <c r="AO11" s="356">
        <f>Data!S10/AO$4*100000*AO$3</f>
        <v>0</v>
      </c>
      <c r="AP11" s="356">
        <f>Data!T10/AP$4*100000*AP$3</f>
        <v>0</v>
      </c>
      <c r="AQ11" s="356">
        <f>Data!U10/AQ$4*100000*AQ$3</f>
        <v>15465.661398675751</v>
      </c>
      <c r="AR11" s="356">
        <f>Data!V10/AR$4*100000*AR$3</f>
        <v>7962.4966408217297</v>
      </c>
      <c r="AS11" s="356">
        <f>Data!W10/AS$4*100000*AS$3</f>
        <v>19927.155177185625</v>
      </c>
      <c r="AT11" s="356">
        <f>Data!X10/AT$4*100000*AT$3</f>
        <v>34419.853371424637</v>
      </c>
      <c r="AU11" s="356">
        <f>Data!Y10/AU$4*100000*AU$3</f>
        <v>25164.882406601591</v>
      </c>
      <c r="AV11" s="356">
        <f>Data!Z10/AV$4*100000*AV$3</f>
        <v>36367.677216660435</v>
      </c>
      <c r="AW11" s="356">
        <f>Data!AA10/AW$4*100000*AW$3</f>
        <v>75660.134675039721</v>
      </c>
      <c r="AX11" s="356">
        <f>Data!AB10/AX$4*100000*AX$3</f>
        <v>149438.05066365021</v>
      </c>
      <c r="AY11" s="356">
        <f>Data!AC10/AY$4*100000*AY$3</f>
        <v>252552.98122323488</v>
      </c>
      <c r="AZ11" s="356">
        <f>Data!AD10/AZ$4*100000*AZ$3</f>
        <v>403556.89103963948</v>
      </c>
      <c r="BA11" s="356">
        <f>Data!AE10/BA$4*100000*BA$3</f>
        <v>342364.42791326769</v>
      </c>
      <c r="BB11" s="356">
        <f>Data!AF10/BB$4*100000*BB$3</f>
        <v>166982.92220113854</v>
      </c>
      <c r="BC11" s="356">
        <f>Data!AG10/BC$4*100000*BC$3</f>
        <v>98448.927107610696</v>
      </c>
      <c r="BD11" s="356">
        <f>Data!AH10/BD$4*100000*BD$3</f>
        <v>95013.432933621662</v>
      </c>
      <c r="BE11" s="352"/>
      <c r="BF11" s="352"/>
      <c r="BG11" s="352"/>
      <c r="BH11" s="352"/>
      <c r="BI11" s="352"/>
      <c r="BJ11" s="352"/>
      <c r="BK11" s="352"/>
      <c r="BL11" s="352"/>
      <c r="BM11" s="352"/>
      <c r="BN11" s="352"/>
      <c r="BO11" s="352"/>
      <c r="BP11" s="352"/>
      <c r="BQ11" s="352"/>
      <c r="BR11" s="352"/>
      <c r="BS11" s="352"/>
      <c r="BT11" s="352"/>
      <c r="BU11" s="352"/>
      <c r="BV11" s="352"/>
      <c r="BW11" s="352"/>
    </row>
    <row r="12" spans="1:75" ht="12" customHeight="1">
      <c r="A12" s="30"/>
      <c r="B12" s="129" t="str">
        <f>UPPER(LEFT(TRIM(Data!B11),1)) &amp; MID(TRIM(Data!B11),2,50)</f>
        <v>Tiesiosios žarnos, išangės</v>
      </c>
      <c r="C12" s="129" t="str">
        <f>UPPER(LEFT(TRIM(Data!C11),1)) &amp; MID(TRIM(Data!C11),2,50)</f>
        <v>C19-C21</v>
      </c>
      <c r="D12" s="130">
        <f>Data!D11</f>
        <v>343</v>
      </c>
      <c r="E12" s="131">
        <f t="shared" si="0"/>
        <v>25.636579437519995</v>
      </c>
      <c r="F12" s="132">
        <f t="shared" si="4"/>
        <v>20.804364527149264</v>
      </c>
      <c r="G12" s="133">
        <f t="shared" si="1"/>
        <v>13.830405749421447</v>
      </c>
      <c r="H12" s="77"/>
      <c r="I12" s="77"/>
      <c r="J12" s="77"/>
      <c r="K12" s="77"/>
      <c r="L12" s="77"/>
      <c r="M12" s="77"/>
      <c r="N12" s="77"/>
      <c r="O12" s="60"/>
      <c r="P12" s="389"/>
      <c r="Q12" s="358" t="s">
        <v>353</v>
      </c>
      <c r="R12" s="356">
        <f t="shared" si="2"/>
        <v>2080436.4527149266</v>
      </c>
      <c r="S12" s="356">
        <f>Data!Q11/S$4*100000*S$3</f>
        <v>0</v>
      </c>
      <c r="T12" s="356">
        <f>Data!R11/T$4*100000*T$3</f>
        <v>0</v>
      </c>
      <c r="U12" s="356">
        <f>Data!S11/U$4*100000*U$3</f>
        <v>0</v>
      </c>
      <c r="V12" s="356">
        <f>Data!T11/V$4*100000*V$3</f>
        <v>0</v>
      </c>
      <c r="W12" s="356">
        <f>Data!U11/W$4*100000*W$3</f>
        <v>0</v>
      </c>
      <c r="X12" s="356">
        <f>Data!V11/X$4*100000*X$3</f>
        <v>0</v>
      </c>
      <c r="Y12" s="356">
        <f>Data!W11/Y$4*100000*Y$3</f>
        <v>0</v>
      </c>
      <c r="Z12" s="356">
        <f>Data!X11/Z$4*100000*Z$3</f>
        <v>0</v>
      </c>
      <c r="AA12" s="356">
        <f>Data!Y11/AA$4*100000*AA$3</f>
        <v>14679.514737184261</v>
      </c>
      <c r="AB12" s="356">
        <f>Data!Z11/AB$4*100000*AB$3</f>
        <v>77786.420713412605</v>
      </c>
      <c r="AC12" s="356">
        <f>Data!AA11/AC$4*100000*AC$3</f>
        <v>86063.403192857673</v>
      </c>
      <c r="AD12" s="356">
        <f>Data!AB11/AD$4*100000*AD$3</f>
        <v>217930.4905511566</v>
      </c>
      <c r="AE12" s="356">
        <f>Data!AC11/AE$4*100000*AE$3</f>
        <v>301965.52102778084</v>
      </c>
      <c r="AF12" s="356">
        <f>Data!AD11/AF$4*100000*AF$3</f>
        <v>370363.90000174695</v>
      </c>
      <c r="AG12" s="356">
        <f>Data!AE11/AG$4*100000*AG$3</f>
        <v>431125.57589078153</v>
      </c>
      <c r="AH12" s="356">
        <f>Data!AF11/AH$4*100000*AH$3</f>
        <v>253004.42757748259</v>
      </c>
      <c r="AI12" s="356">
        <f>Data!AG11/AI$4*100000*AI$3</f>
        <v>176806.236438158</v>
      </c>
      <c r="AJ12" s="356">
        <f>Data!AH11/AJ$4*100000*AJ$3</f>
        <v>150710.96258436536</v>
      </c>
      <c r="AK12" s="358" t="s">
        <v>353</v>
      </c>
      <c r="AL12" s="356">
        <f t="shared" si="3"/>
        <v>1383040.5749421446</v>
      </c>
      <c r="AM12" s="356">
        <f>Data!Q11/AM$4*100000*AM$3</f>
        <v>0</v>
      </c>
      <c r="AN12" s="356">
        <f>Data!R11/AN$4*100000*AN$3</f>
        <v>0</v>
      </c>
      <c r="AO12" s="356">
        <f>Data!S11/AO$4*100000*AO$3</f>
        <v>0</v>
      </c>
      <c r="AP12" s="356">
        <f>Data!T11/AP$4*100000*AP$3</f>
        <v>0</v>
      </c>
      <c r="AQ12" s="356">
        <f>Data!U11/AQ$4*100000*AQ$3</f>
        <v>0</v>
      </c>
      <c r="AR12" s="356">
        <f>Data!V11/AR$4*100000*AR$3</f>
        <v>0</v>
      </c>
      <c r="AS12" s="356">
        <f>Data!W11/AS$4*100000*AS$3</f>
        <v>0</v>
      </c>
      <c r="AT12" s="356">
        <f>Data!X11/AT$4*100000*AT$3</f>
        <v>0</v>
      </c>
      <c r="AU12" s="356">
        <f>Data!Y11/AU$4*100000*AU$3</f>
        <v>12582.441203300796</v>
      </c>
      <c r="AV12" s="356">
        <f>Data!Z11/AV$4*100000*AV$3</f>
        <v>66674.074897210798</v>
      </c>
      <c r="AW12" s="356">
        <f>Data!AA11/AW$4*100000*AW$3</f>
        <v>61473.859423469767</v>
      </c>
      <c r="AX12" s="356">
        <f>Data!AB11/AX$4*100000*AX$3</f>
        <v>145286.99370077107</v>
      </c>
      <c r="AY12" s="356">
        <f>Data!AC11/AY$4*100000*AY$3</f>
        <v>241572.41682222465</v>
      </c>
      <c r="AZ12" s="356">
        <f>Data!AD11/AZ$4*100000*AZ$3</f>
        <v>277772.92500131024</v>
      </c>
      <c r="BA12" s="356">
        <f>Data!AE11/BA$4*100000*BA$3</f>
        <v>287417.05059385434</v>
      </c>
      <c r="BB12" s="356">
        <f>Data!AF11/BB$4*100000*BB$3</f>
        <v>126502.2137887413</v>
      </c>
      <c r="BC12" s="356">
        <f>Data!AG11/BC$4*100000*BC$3</f>
        <v>88403.118219078999</v>
      </c>
      <c r="BD12" s="356">
        <f>Data!AH11/BD$4*100000*BD$3</f>
        <v>75355.481292182681</v>
      </c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352"/>
      <c r="BV12" s="352"/>
      <c r="BW12" s="352"/>
    </row>
    <row r="13" spans="1:75" ht="12" customHeight="1">
      <c r="A13" s="30"/>
      <c r="B13" s="134" t="str">
        <f>UPPER(LEFT(TRIM(Data!B12),1)) &amp; MID(TRIM(Data!B12),2,50)</f>
        <v>Kepenų</v>
      </c>
      <c r="C13" s="134" t="str">
        <f>UPPER(LEFT(TRIM(Data!C12),1)) &amp; MID(TRIM(Data!C12),2,50)</f>
        <v>C22</v>
      </c>
      <c r="D13" s="135">
        <f>Data!D12</f>
        <v>142</v>
      </c>
      <c r="E13" s="136">
        <f t="shared" si="0"/>
        <v>10.613394402705071</v>
      </c>
      <c r="F13" s="137">
        <f t="shared" si="4"/>
        <v>9.0350707928583684</v>
      </c>
      <c r="G13" s="137">
        <f t="shared" si="1"/>
        <v>6.3538582369225942</v>
      </c>
      <c r="H13" s="77"/>
      <c r="I13" s="77"/>
      <c r="J13" s="77"/>
      <c r="K13" s="77"/>
      <c r="L13" s="77"/>
      <c r="M13" s="77"/>
      <c r="N13" s="77"/>
      <c r="O13" s="60"/>
      <c r="P13" s="389"/>
      <c r="Q13" s="358" t="s">
        <v>353</v>
      </c>
      <c r="R13" s="356">
        <f t="shared" si="2"/>
        <v>903507.07928583678</v>
      </c>
      <c r="S13" s="356">
        <f>Data!Q12/S$4*100000*S$3</f>
        <v>10334.448592577282</v>
      </c>
      <c r="T13" s="356">
        <f>Data!R12/T$4*100000*T$3</f>
        <v>0</v>
      </c>
      <c r="U13" s="356">
        <f>Data!S12/U$4*100000*U$3</f>
        <v>0</v>
      </c>
      <c r="V13" s="356">
        <f>Data!T12/V$4*100000*V$3</f>
        <v>0</v>
      </c>
      <c r="W13" s="356">
        <f>Data!U12/W$4*100000*W$3</f>
        <v>0</v>
      </c>
      <c r="X13" s="356">
        <f>Data!V12/X$4*100000*X$3</f>
        <v>0</v>
      </c>
      <c r="Y13" s="356">
        <f>Data!W12/Y$4*100000*Y$3</f>
        <v>7749.4492355721868</v>
      </c>
      <c r="Z13" s="356">
        <f>Data!X12/Z$4*100000*Z$3</f>
        <v>0</v>
      </c>
      <c r="AA13" s="356">
        <f>Data!Y12/AA$4*100000*AA$3</f>
        <v>29359.029474368523</v>
      </c>
      <c r="AB13" s="356">
        <f>Data!Z12/AB$4*100000*AB$3</f>
        <v>49500.449544898926</v>
      </c>
      <c r="AC13" s="356">
        <f>Data!AA12/AC$4*100000*AC$3</f>
        <v>99303.926760989634</v>
      </c>
      <c r="AD13" s="356">
        <f>Data!AB12/AD$4*100000*AD$3</f>
        <v>112078.53799773766</v>
      </c>
      <c r="AE13" s="356">
        <f>Data!AC12/AE$4*100000*AE$3</f>
        <v>137257.05501262765</v>
      </c>
      <c r="AF13" s="356">
        <f>Data!AD12/AF$4*100000*AF$3</f>
        <v>202651.94528397475</v>
      </c>
      <c r="AG13" s="356">
        <f>Data!AE12/AG$4*100000*AG$3</f>
        <v>63400.819983938454</v>
      </c>
      <c r="AH13" s="356">
        <f>Data!AF12/AH$4*100000*AH$3</f>
        <v>111321.94813409234</v>
      </c>
      <c r="AI13" s="356">
        <f>Data!AG12/AI$4*100000*AI$3</f>
        <v>28128.26488788877</v>
      </c>
      <c r="AJ13" s="356">
        <f>Data!AH12/AJ$4*100000*AJ$3</f>
        <v>52421.204377170565</v>
      </c>
      <c r="AK13" s="358" t="s">
        <v>353</v>
      </c>
      <c r="AL13" s="356">
        <f t="shared" si="3"/>
        <v>635385.82369225938</v>
      </c>
      <c r="AM13" s="356">
        <f>Data!Q12/AM$4*100000*AM$3</f>
        <v>15501.672888865922</v>
      </c>
      <c r="AN13" s="356">
        <f>Data!R12/AN$4*100000*AN$3</f>
        <v>0</v>
      </c>
      <c r="AO13" s="356">
        <f>Data!S12/AO$4*100000*AO$3</f>
        <v>0</v>
      </c>
      <c r="AP13" s="356">
        <f>Data!T12/AP$4*100000*AP$3</f>
        <v>0</v>
      </c>
      <c r="AQ13" s="356">
        <f>Data!U12/AQ$4*100000*AQ$3</f>
        <v>0</v>
      </c>
      <c r="AR13" s="356">
        <f>Data!V12/AR$4*100000*AR$3</f>
        <v>0</v>
      </c>
      <c r="AS13" s="356">
        <f>Data!W12/AS$4*100000*AS$3</f>
        <v>6642.3850590618749</v>
      </c>
      <c r="AT13" s="356">
        <f>Data!X12/AT$4*100000*AT$3</f>
        <v>0</v>
      </c>
      <c r="AU13" s="356">
        <f>Data!Y12/AU$4*100000*AU$3</f>
        <v>25164.882406601591</v>
      </c>
      <c r="AV13" s="356">
        <f>Data!Z12/AV$4*100000*AV$3</f>
        <v>42428.956752770508</v>
      </c>
      <c r="AW13" s="356">
        <f>Data!AA12/AW$4*100000*AW$3</f>
        <v>70931.376257849741</v>
      </c>
      <c r="AX13" s="356">
        <f>Data!AB12/AX$4*100000*AX$3</f>
        <v>74719.025331825105</v>
      </c>
      <c r="AY13" s="356">
        <f>Data!AC12/AY$4*100000*AY$3</f>
        <v>109805.64401010211</v>
      </c>
      <c r="AZ13" s="356">
        <f>Data!AD12/AZ$4*100000*AZ$3</f>
        <v>151988.95896298107</v>
      </c>
      <c r="BA13" s="356">
        <f>Data!AE12/BA$4*100000*BA$3</f>
        <v>42267.213322625634</v>
      </c>
      <c r="BB13" s="356">
        <f>Data!AF12/BB$4*100000*BB$3</f>
        <v>55660.974067046169</v>
      </c>
      <c r="BC13" s="356">
        <f>Data!AG12/BC$4*100000*BC$3</f>
        <v>14064.132443944385</v>
      </c>
      <c r="BD13" s="356">
        <f>Data!AH12/BD$4*100000*BD$3</f>
        <v>26210.602188585282</v>
      </c>
      <c r="BE13" s="352"/>
      <c r="BF13" s="352"/>
      <c r="BG13" s="352"/>
      <c r="BH13" s="352"/>
      <c r="BI13" s="352"/>
      <c r="BJ13" s="352"/>
      <c r="BK13" s="352"/>
      <c r="BL13" s="352"/>
      <c r="BM13" s="352"/>
      <c r="BN13" s="352"/>
      <c r="BO13" s="352"/>
      <c r="BP13" s="352"/>
      <c r="BQ13" s="352"/>
      <c r="BR13" s="352"/>
      <c r="BS13" s="352"/>
      <c r="BT13" s="352"/>
      <c r="BU13" s="352"/>
      <c r="BV13" s="352"/>
      <c r="BW13" s="352"/>
    </row>
    <row r="14" spans="1:75" ht="12" customHeight="1">
      <c r="A14" s="30"/>
      <c r="B14" s="129" t="str">
        <f>UPPER(LEFT(TRIM(Data!B13),1)) &amp; MID(TRIM(Data!B13),2,50)</f>
        <v>Tulžies pūslės, ekstrahepatinių takų</v>
      </c>
      <c r="C14" s="129" t="str">
        <f>UPPER(LEFT(TRIM(Data!C13),1)) &amp; MID(TRIM(Data!C13),2,50)</f>
        <v>C23, C24</v>
      </c>
      <c r="D14" s="130">
        <f>Data!D13</f>
        <v>37</v>
      </c>
      <c r="E14" s="131">
        <f t="shared" si="0"/>
        <v>2.7654619218316028</v>
      </c>
      <c r="F14" s="132">
        <f t="shared" si="4"/>
        <v>2.184153351466867</v>
      </c>
      <c r="G14" s="133">
        <f t="shared" si="1"/>
        <v>1.3982424013703556</v>
      </c>
      <c r="H14" s="77"/>
      <c r="I14" s="77"/>
      <c r="J14" s="77"/>
      <c r="K14" s="77"/>
      <c r="L14" s="77"/>
      <c r="M14" s="77"/>
      <c r="N14" s="77"/>
      <c r="O14" s="60"/>
      <c r="P14" s="389"/>
      <c r="Q14" s="358" t="s">
        <v>353</v>
      </c>
      <c r="R14" s="356">
        <f t="shared" si="2"/>
        <v>218415.3351466867</v>
      </c>
      <c r="S14" s="356">
        <f>Data!Q13/S$4*100000*S$3</f>
        <v>0</v>
      </c>
      <c r="T14" s="356">
        <f>Data!R13/T$4*100000*T$3</f>
        <v>0</v>
      </c>
      <c r="U14" s="356">
        <f>Data!S13/U$4*100000*U$3</f>
        <v>0</v>
      </c>
      <c r="V14" s="356">
        <f>Data!T13/V$4*100000*V$3</f>
        <v>0</v>
      </c>
      <c r="W14" s="356">
        <f>Data!U13/W$4*100000*W$3</f>
        <v>0</v>
      </c>
      <c r="X14" s="356">
        <f>Data!V13/X$4*100000*X$3</f>
        <v>0</v>
      </c>
      <c r="Y14" s="356">
        <f>Data!W13/Y$4*100000*Y$3</f>
        <v>0</v>
      </c>
      <c r="Z14" s="356">
        <f>Data!X13/Z$4*100000*Z$3</f>
        <v>0</v>
      </c>
      <c r="AA14" s="356">
        <f>Data!Y13/AA$4*100000*AA$3</f>
        <v>7339.7573685921307</v>
      </c>
      <c r="AB14" s="356">
        <f>Data!Z13/AB$4*100000*AB$3</f>
        <v>7071.4927921284179</v>
      </c>
      <c r="AC14" s="356">
        <f>Data!AA13/AC$4*100000*AC$3</f>
        <v>19860.785352197923</v>
      </c>
      <c r="AD14" s="356">
        <f>Data!AB13/AD$4*100000*AD$3</f>
        <v>12453.17088863752</v>
      </c>
      <c r="AE14" s="356">
        <f>Data!AC13/AE$4*100000*AE$3</f>
        <v>20588.558251894148</v>
      </c>
      <c r="AF14" s="356">
        <f>Data!AD13/AF$4*100000*AF$3</f>
        <v>34939.990566202549</v>
      </c>
      <c r="AG14" s="356">
        <f>Data!AE13/AG$4*100000*AG$3</f>
        <v>25360.327993575382</v>
      </c>
      <c r="AH14" s="356">
        <f>Data!AF13/AH$4*100000*AH$3</f>
        <v>40480.708412397224</v>
      </c>
      <c r="AI14" s="356">
        <f>Data!AG13/AI$4*100000*AI$3</f>
        <v>24109.94133247609</v>
      </c>
      <c r="AJ14" s="356">
        <f>Data!AH13/AJ$4*100000*AJ$3</f>
        <v>26210.602188585282</v>
      </c>
      <c r="AK14" s="358" t="s">
        <v>353</v>
      </c>
      <c r="AL14" s="356">
        <f t="shared" si="3"/>
        <v>139824.24013703555</v>
      </c>
      <c r="AM14" s="356">
        <f>Data!Q13/AM$4*100000*AM$3</f>
        <v>0</v>
      </c>
      <c r="AN14" s="356">
        <f>Data!R13/AN$4*100000*AN$3</f>
        <v>0</v>
      </c>
      <c r="AO14" s="356">
        <f>Data!S13/AO$4*100000*AO$3</f>
        <v>0</v>
      </c>
      <c r="AP14" s="356">
        <f>Data!T13/AP$4*100000*AP$3</f>
        <v>0</v>
      </c>
      <c r="AQ14" s="356">
        <f>Data!U13/AQ$4*100000*AQ$3</f>
        <v>0</v>
      </c>
      <c r="AR14" s="356">
        <f>Data!V13/AR$4*100000*AR$3</f>
        <v>0</v>
      </c>
      <c r="AS14" s="356">
        <f>Data!W13/AS$4*100000*AS$3</f>
        <v>0</v>
      </c>
      <c r="AT14" s="356">
        <f>Data!X13/AT$4*100000*AT$3</f>
        <v>0</v>
      </c>
      <c r="AU14" s="356">
        <f>Data!Y13/AU$4*100000*AU$3</f>
        <v>6291.2206016503978</v>
      </c>
      <c r="AV14" s="356">
        <f>Data!Z13/AV$4*100000*AV$3</f>
        <v>6061.2795361100725</v>
      </c>
      <c r="AW14" s="356">
        <f>Data!AA13/AW$4*100000*AW$3</f>
        <v>14186.275251569947</v>
      </c>
      <c r="AX14" s="356">
        <f>Data!AB13/AX$4*100000*AX$3</f>
        <v>8302.1139257583472</v>
      </c>
      <c r="AY14" s="356">
        <f>Data!AC13/AY$4*100000*AY$3</f>
        <v>16470.846601515321</v>
      </c>
      <c r="AZ14" s="356">
        <f>Data!AD13/AZ$4*100000*AZ$3</f>
        <v>26204.99292465191</v>
      </c>
      <c r="BA14" s="356">
        <f>Data!AE13/BA$4*100000*BA$3</f>
        <v>16906.885329050256</v>
      </c>
      <c r="BB14" s="356">
        <f>Data!AF13/BB$4*100000*BB$3</f>
        <v>20240.354206198612</v>
      </c>
      <c r="BC14" s="356">
        <f>Data!AG13/BC$4*100000*BC$3</f>
        <v>12054.970666238045</v>
      </c>
      <c r="BD14" s="356">
        <f>Data!AH13/BD$4*100000*BD$3</f>
        <v>13105.301094292641</v>
      </c>
      <c r="BE14" s="352"/>
      <c r="BF14" s="352"/>
      <c r="BG14" s="352"/>
      <c r="BH14" s="352"/>
      <c r="BI14" s="352"/>
      <c r="BJ14" s="352"/>
      <c r="BK14" s="352"/>
      <c r="BL14" s="352"/>
      <c r="BM14" s="352"/>
      <c r="BN14" s="352"/>
      <c r="BO14" s="352"/>
      <c r="BP14" s="352"/>
      <c r="BQ14" s="352"/>
      <c r="BR14" s="352"/>
      <c r="BS14" s="352"/>
      <c r="BT14" s="352"/>
      <c r="BU14" s="352"/>
      <c r="BV14" s="352"/>
      <c r="BW14" s="352"/>
    </row>
    <row r="15" spans="1:75" ht="12" customHeight="1">
      <c r="A15" s="30"/>
      <c r="B15" s="134" t="str">
        <f>UPPER(LEFT(TRIM(Data!B14),1)) &amp; MID(TRIM(Data!B14),2,50)</f>
        <v>Kasos</v>
      </c>
      <c r="C15" s="134" t="str">
        <f>UPPER(LEFT(TRIM(Data!C14),1)) &amp; MID(TRIM(Data!C14),2,50)</f>
        <v>C25</v>
      </c>
      <c r="D15" s="135">
        <f>Data!D14</f>
        <v>244</v>
      </c>
      <c r="E15" s="136">
        <f t="shared" si="0"/>
        <v>18.237100241267868</v>
      </c>
      <c r="F15" s="137">
        <f t="shared" si="4"/>
        <v>15.095151570642271</v>
      </c>
      <c r="G15" s="137">
        <f t="shared" si="1"/>
        <v>10.291507257947114</v>
      </c>
      <c r="H15" s="77"/>
      <c r="I15" s="77"/>
      <c r="J15" s="77"/>
      <c r="K15" s="77"/>
      <c r="L15" s="77"/>
      <c r="M15" s="77"/>
      <c r="N15" s="77"/>
      <c r="O15" s="60"/>
      <c r="P15" s="389"/>
      <c r="Q15" s="358" t="s">
        <v>353</v>
      </c>
      <c r="R15" s="356">
        <f t="shared" si="2"/>
        <v>1509515.1570642272</v>
      </c>
      <c r="S15" s="356">
        <f>Data!Q14/S$4*100000*S$3</f>
        <v>0</v>
      </c>
      <c r="T15" s="356">
        <f>Data!R14/T$4*100000*T$3</f>
        <v>0</v>
      </c>
      <c r="U15" s="356">
        <f>Data!S14/U$4*100000*U$3</f>
        <v>0</v>
      </c>
      <c r="V15" s="356">
        <f>Data!T14/V$4*100000*V$3</f>
        <v>0</v>
      </c>
      <c r="W15" s="356">
        <f>Data!U14/W$4*100000*W$3</f>
        <v>0</v>
      </c>
      <c r="X15" s="356">
        <f>Data!V14/X$4*100000*X$3</f>
        <v>0</v>
      </c>
      <c r="Y15" s="356">
        <f>Data!W14/Y$4*100000*Y$3</f>
        <v>7749.4492355721868</v>
      </c>
      <c r="Z15" s="356">
        <f>Data!X14/Z$4*100000*Z$3</f>
        <v>16062.598239998164</v>
      </c>
      <c r="AA15" s="356">
        <f>Data!Y14/AA$4*100000*AA$3</f>
        <v>44038.544211552777</v>
      </c>
      <c r="AB15" s="356">
        <f>Data!Z14/AB$4*100000*AB$3</f>
        <v>106072.39188192626</v>
      </c>
      <c r="AC15" s="356">
        <f>Data!AA14/AC$4*100000*AC$3</f>
        <v>125784.97389725354</v>
      </c>
      <c r="AD15" s="356">
        <f>Data!AB14/AD$4*100000*AD$3</f>
        <v>155664.63610796901</v>
      </c>
      <c r="AE15" s="356">
        <f>Data!AC14/AE$4*100000*AE$3</f>
        <v>178434.17151641595</v>
      </c>
      <c r="AF15" s="356">
        <f>Data!AD14/AF$4*100000*AF$3</f>
        <v>258555.93018989885</v>
      </c>
      <c r="AG15" s="356">
        <f>Data!AE14/AG$4*100000*AG$3</f>
        <v>247263.19793736</v>
      </c>
      <c r="AH15" s="356">
        <f>Data!AF14/AH$4*100000*AH$3</f>
        <v>192283.36495888678</v>
      </c>
      <c r="AI15" s="356">
        <f>Data!AG14/AI$4*100000*AI$3</f>
        <v>92421.441774491686</v>
      </c>
      <c r="AJ15" s="356">
        <f>Data!AH14/AJ$4*100000*AJ$3</f>
        <v>85184.457112902164</v>
      </c>
      <c r="AK15" s="358" t="s">
        <v>353</v>
      </c>
      <c r="AL15" s="356">
        <f t="shared" si="3"/>
        <v>1029150.7257947114</v>
      </c>
      <c r="AM15" s="356">
        <f>Data!Q14/AM$4*100000*AM$3</f>
        <v>0</v>
      </c>
      <c r="AN15" s="356">
        <f>Data!R14/AN$4*100000*AN$3</f>
        <v>0</v>
      </c>
      <c r="AO15" s="356">
        <f>Data!S14/AO$4*100000*AO$3</f>
        <v>0</v>
      </c>
      <c r="AP15" s="356">
        <f>Data!T14/AP$4*100000*AP$3</f>
        <v>0</v>
      </c>
      <c r="AQ15" s="356">
        <f>Data!U14/AQ$4*100000*AQ$3</f>
        <v>0</v>
      </c>
      <c r="AR15" s="356">
        <f>Data!V14/AR$4*100000*AR$3</f>
        <v>0</v>
      </c>
      <c r="AS15" s="356">
        <f>Data!W14/AS$4*100000*AS$3</f>
        <v>6642.3850590618749</v>
      </c>
      <c r="AT15" s="356">
        <f>Data!X14/AT$4*100000*AT$3</f>
        <v>13767.941348569855</v>
      </c>
      <c r="AU15" s="356">
        <f>Data!Y14/AU$4*100000*AU$3</f>
        <v>37747.323609902385</v>
      </c>
      <c r="AV15" s="356">
        <f>Data!Z14/AV$4*100000*AV$3</f>
        <v>90919.193041651088</v>
      </c>
      <c r="AW15" s="356">
        <f>Data!AA14/AW$4*100000*AW$3</f>
        <v>89846.409926609675</v>
      </c>
      <c r="AX15" s="356">
        <f>Data!AB14/AX$4*100000*AX$3</f>
        <v>103776.42407197933</v>
      </c>
      <c r="AY15" s="356">
        <f>Data!AC14/AY$4*100000*AY$3</f>
        <v>142747.33721313276</v>
      </c>
      <c r="AZ15" s="356">
        <f>Data!AD14/AZ$4*100000*AZ$3</f>
        <v>193916.94764242414</v>
      </c>
      <c r="BA15" s="356">
        <f>Data!AE14/BA$4*100000*BA$3</f>
        <v>164842.13195824</v>
      </c>
      <c r="BB15" s="356">
        <f>Data!AF14/BB$4*100000*BB$3</f>
        <v>96141.682479443392</v>
      </c>
      <c r="BC15" s="356">
        <f>Data!AG14/BC$4*100000*BC$3</f>
        <v>46210.720887245843</v>
      </c>
      <c r="BD15" s="356">
        <f>Data!AH14/BD$4*100000*BD$3</f>
        <v>42592.228556451082</v>
      </c>
      <c r="BE15" s="352"/>
      <c r="BF15" s="352"/>
      <c r="BG15" s="352"/>
      <c r="BH15" s="352"/>
      <c r="BI15" s="352"/>
      <c r="BJ15" s="352"/>
      <c r="BK15" s="352"/>
      <c r="BL15" s="352"/>
      <c r="BM15" s="352"/>
      <c r="BN15" s="352"/>
      <c r="BO15" s="352"/>
      <c r="BP15" s="352"/>
      <c r="BQ15" s="352"/>
      <c r="BR15" s="352"/>
      <c r="BS15" s="352"/>
      <c r="BT15" s="352"/>
      <c r="BU15" s="352"/>
      <c r="BV15" s="352"/>
      <c r="BW15" s="352"/>
    </row>
    <row r="16" spans="1:75" ht="12" customHeight="1">
      <c r="A16" s="30"/>
      <c r="B16" s="129" t="str">
        <f>UPPER(LEFT(TRIM(Data!B15),1)) &amp; MID(TRIM(Data!B15),2,50)</f>
        <v>Kitų virškinimo sistemos organų</v>
      </c>
      <c r="C16" s="129" t="str">
        <f>UPPER(LEFT(TRIM(Data!C15),1)) &amp; MID(TRIM(Data!C15),2,50)</f>
        <v>C17, C26, C48</v>
      </c>
      <c r="D16" s="130">
        <f>Data!D15</f>
        <v>30</v>
      </c>
      <c r="E16" s="131">
        <f t="shared" si="0"/>
        <v>2.2422664231067051</v>
      </c>
      <c r="F16" s="132">
        <f t="shared" si="4"/>
        <v>1.8524834713852714</v>
      </c>
      <c r="G16" s="133">
        <f t="shared" si="1"/>
        <v>1.2662441491280887</v>
      </c>
      <c r="H16" s="77"/>
      <c r="I16" s="77"/>
      <c r="J16" s="77"/>
      <c r="K16" s="77"/>
      <c r="L16" s="77"/>
      <c r="M16" s="77"/>
      <c r="N16" s="77"/>
      <c r="O16" s="60"/>
      <c r="P16" s="389"/>
      <c r="Q16" s="358" t="s">
        <v>353</v>
      </c>
      <c r="R16" s="356">
        <f t="shared" si="2"/>
        <v>185248.34713852714</v>
      </c>
      <c r="S16" s="356">
        <f>Data!Q15/S$4*100000*S$3</f>
        <v>10334.448592577282</v>
      </c>
      <c r="T16" s="356">
        <f>Data!R15/T$4*100000*T$3</f>
        <v>0</v>
      </c>
      <c r="U16" s="356">
        <f>Data!S15/U$4*100000*U$3</f>
        <v>0</v>
      </c>
      <c r="V16" s="356">
        <f>Data!T15/V$4*100000*V$3</f>
        <v>0</v>
      </c>
      <c r="W16" s="356">
        <f>Data!U15/W$4*100000*W$3</f>
        <v>0</v>
      </c>
      <c r="X16" s="356">
        <f>Data!V15/X$4*100000*X$3</f>
        <v>0</v>
      </c>
      <c r="Y16" s="356">
        <f>Data!W15/Y$4*100000*Y$3</f>
        <v>0</v>
      </c>
      <c r="Z16" s="356">
        <f>Data!X15/Z$4*100000*Z$3</f>
        <v>0</v>
      </c>
      <c r="AA16" s="356">
        <f>Data!Y15/AA$4*100000*AA$3</f>
        <v>0</v>
      </c>
      <c r="AB16" s="356">
        <f>Data!Z15/AB$4*100000*AB$3</f>
        <v>0</v>
      </c>
      <c r="AC16" s="356">
        <f>Data!AA15/AC$4*100000*AC$3</f>
        <v>13240.523568131952</v>
      </c>
      <c r="AD16" s="356">
        <f>Data!AB15/AD$4*100000*AD$3</f>
        <v>18679.756332956276</v>
      </c>
      <c r="AE16" s="356">
        <f>Data!AC15/AE$4*100000*AE$3</f>
        <v>20588.558251894148</v>
      </c>
      <c r="AF16" s="356">
        <f>Data!AD15/AF$4*100000*AF$3</f>
        <v>41927.988679443064</v>
      </c>
      <c r="AG16" s="356">
        <f>Data!AE15/AG$4*100000*AG$3</f>
        <v>6340.0819983938454</v>
      </c>
      <c r="AH16" s="356">
        <f>Data!AF15/AH$4*100000*AH$3</f>
        <v>25300.44275774826</v>
      </c>
      <c r="AI16" s="356">
        <f>Data!AG15/AI$4*100000*AI$3</f>
        <v>16073.294221650727</v>
      </c>
      <c r="AJ16" s="356">
        <f>Data!AH15/AJ$4*100000*AJ$3</f>
        <v>32763.252735731607</v>
      </c>
      <c r="AK16" s="358" t="s">
        <v>353</v>
      </c>
      <c r="AL16" s="356">
        <f t="shared" si="3"/>
        <v>126624.41491280888</v>
      </c>
      <c r="AM16" s="356">
        <f>Data!Q15/AM$4*100000*AM$3</f>
        <v>15501.672888865922</v>
      </c>
      <c r="AN16" s="356">
        <f>Data!R15/AN$4*100000*AN$3</f>
        <v>0</v>
      </c>
      <c r="AO16" s="356">
        <f>Data!S15/AO$4*100000*AO$3</f>
        <v>0</v>
      </c>
      <c r="AP16" s="356">
        <f>Data!T15/AP$4*100000*AP$3</f>
        <v>0</v>
      </c>
      <c r="AQ16" s="356">
        <f>Data!U15/AQ$4*100000*AQ$3</f>
        <v>0</v>
      </c>
      <c r="AR16" s="356">
        <f>Data!V15/AR$4*100000*AR$3</f>
        <v>0</v>
      </c>
      <c r="AS16" s="356">
        <f>Data!W15/AS$4*100000*AS$3</f>
        <v>0</v>
      </c>
      <c r="AT16" s="356">
        <f>Data!X15/AT$4*100000*AT$3</f>
        <v>0</v>
      </c>
      <c r="AU16" s="356">
        <f>Data!Y15/AU$4*100000*AU$3</f>
        <v>0</v>
      </c>
      <c r="AV16" s="356">
        <f>Data!Z15/AV$4*100000*AV$3</f>
        <v>0</v>
      </c>
      <c r="AW16" s="356">
        <f>Data!AA15/AW$4*100000*AW$3</f>
        <v>9457.5168343799651</v>
      </c>
      <c r="AX16" s="356">
        <f>Data!AB15/AX$4*100000*AX$3</f>
        <v>12453.170888637518</v>
      </c>
      <c r="AY16" s="356">
        <f>Data!AC15/AY$4*100000*AY$3</f>
        <v>16470.846601515321</v>
      </c>
      <c r="AZ16" s="356">
        <f>Data!AD15/AZ$4*100000*AZ$3</f>
        <v>31445.991509582294</v>
      </c>
      <c r="BA16" s="356">
        <f>Data!AE15/BA$4*100000*BA$3</f>
        <v>4226.7213322625639</v>
      </c>
      <c r="BB16" s="356">
        <f>Data!AF15/BB$4*100000*BB$3</f>
        <v>12650.22137887413</v>
      </c>
      <c r="BC16" s="356">
        <f>Data!AG15/BC$4*100000*BC$3</f>
        <v>8036.6471108253636</v>
      </c>
      <c r="BD16" s="356">
        <f>Data!AH15/BD$4*100000*BD$3</f>
        <v>16381.626367865803</v>
      </c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52"/>
    </row>
    <row r="17" spans="1:75" ht="12" customHeight="1">
      <c r="A17" s="30"/>
      <c r="B17" s="134" t="str">
        <f>UPPER(LEFT(TRIM(Data!B16),1)) &amp; MID(TRIM(Data!B16),2,50)</f>
        <v>Nosies ertmės, vid.ausies ir ančių</v>
      </c>
      <c r="C17" s="134" t="str">
        <f>UPPER(LEFT(TRIM(Data!C16),1)) &amp; MID(TRIM(Data!C16),2,50)</f>
        <v>C30, C31</v>
      </c>
      <c r="D17" s="135">
        <f>Data!D16</f>
        <v>7</v>
      </c>
      <c r="E17" s="136">
        <f t="shared" si="0"/>
        <v>0.52319549872489779</v>
      </c>
      <c r="F17" s="137">
        <f t="shared" si="4"/>
        <v>0.47339900415994735</v>
      </c>
      <c r="G17" s="137">
        <f t="shared" si="1"/>
        <v>0.3621306425420307</v>
      </c>
      <c r="H17" s="77"/>
      <c r="I17" s="77"/>
      <c r="J17" s="77"/>
      <c r="K17" s="77"/>
      <c r="L17" s="77"/>
      <c r="M17" s="77"/>
      <c r="N17" s="77"/>
      <c r="O17" s="60"/>
      <c r="P17" s="389"/>
      <c r="Q17" s="358" t="s">
        <v>353</v>
      </c>
      <c r="R17" s="356">
        <f t="shared" si="2"/>
        <v>47339.900415994736</v>
      </c>
      <c r="S17" s="356">
        <f>Data!Q16/S$4*100000*S$3</f>
        <v>0</v>
      </c>
      <c r="T17" s="356">
        <f>Data!R16/T$4*100000*T$3</f>
        <v>0</v>
      </c>
      <c r="U17" s="356">
        <f>Data!S16/U$4*100000*U$3</f>
        <v>0</v>
      </c>
      <c r="V17" s="356">
        <f>Data!T16/V$4*100000*V$3</f>
        <v>0</v>
      </c>
      <c r="W17" s="356">
        <f>Data!U16/W$4*100000*W$3</f>
        <v>0</v>
      </c>
      <c r="X17" s="356">
        <f>Data!V16/X$4*100000*X$3</f>
        <v>0</v>
      </c>
      <c r="Y17" s="356">
        <f>Data!W16/Y$4*100000*Y$3</f>
        <v>7749.4492355721868</v>
      </c>
      <c r="Z17" s="356">
        <f>Data!X16/Z$4*100000*Z$3</f>
        <v>0</v>
      </c>
      <c r="AA17" s="356">
        <f>Data!Y16/AA$4*100000*AA$3</f>
        <v>0</v>
      </c>
      <c r="AB17" s="356">
        <f>Data!Z16/AB$4*100000*AB$3</f>
        <v>7071.4927921284179</v>
      </c>
      <c r="AC17" s="356">
        <f>Data!AA16/AC$4*100000*AC$3</f>
        <v>0</v>
      </c>
      <c r="AD17" s="356">
        <f>Data!AB16/AD$4*100000*AD$3</f>
        <v>12453.17088863752</v>
      </c>
      <c r="AE17" s="356">
        <f>Data!AC16/AE$4*100000*AE$3</f>
        <v>13725.705501262766</v>
      </c>
      <c r="AF17" s="356">
        <f>Data!AD16/AF$4*100000*AF$3</f>
        <v>0</v>
      </c>
      <c r="AG17" s="356">
        <f>Data!AE16/AG$4*100000*AG$3</f>
        <v>6340.0819983938454</v>
      </c>
      <c r="AH17" s="356">
        <f>Data!AF16/AH$4*100000*AH$3</f>
        <v>0</v>
      </c>
      <c r="AI17" s="356">
        <f>Data!AG16/AI$4*100000*AI$3</f>
        <v>0</v>
      </c>
      <c r="AJ17" s="356">
        <f>Data!AH16/AJ$4*100000*AJ$3</f>
        <v>0</v>
      </c>
      <c r="AK17" s="358" t="s">
        <v>353</v>
      </c>
      <c r="AL17" s="356">
        <f t="shared" si="3"/>
        <v>36213.064254203069</v>
      </c>
      <c r="AM17" s="356">
        <f>Data!Q16/AM$4*100000*AM$3</f>
        <v>0</v>
      </c>
      <c r="AN17" s="356">
        <f>Data!R16/AN$4*100000*AN$3</f>
        <v>0</v>
      </c>
      <c r="AO17" s="356">
        <f>Data!S16/AO$4*100000*AO$3</f>
        <v>0</v>
      </c>
      <c r="AP17" s="356">
        <f>Data!T16/AP$4*100000*AP$3</f>
        <v>0</v>
      </c>
      <c r="AQ17" s="356">
        <f>Data!U16/AQ$4*100000*AQ$3</f>
        <v>0</v>
      </c>
      <c r="AR17" s="356">
        <f>Data!V16/AR$4*100000*AR$3</f>
        <v>0</v>
      </c>
      <c r="AS17" s="356">
        <f>Data!W16/AS$4*100000*AS$3</f>
        <v>6642.3850590618749</v>
      </c>
      <c r="AT17" s="356">
        <f>Data!X16/AT$4*100000*AT$3</f>
        <v>0</v>
      </c>
      <c r="AU17" s="356">
        <f>Data!Y16/AU$4*100000*AU$3</f>
        <v>0</v>
      </c>
      <c r="AV17" s="356">
        <f>Data!Z16/AV$4*100000*AV$3</f>
        <v>6061.2795361100725</v>
      </c>
      <c r="AW17" s="356">
        <f>Data!AA16/AW$4*100000*AW$3</f>
        <v>0</v>
      </c>
      <c r="AX17" s="356">
        <f>Data!AB16/AX$4*100000*AX$3</f>
        <v>8302.1139257583472</v>
      </c>
      <c r="AY17" s="356">
        <f>Data!AC16/AY$4*100000*AY$3</f>
        <v>10980.564401010213</v>
      </c>
      <c r="AZ17" s="356">
        <f>Data!AD16/AZ$4*100000*AZ$3</f>
        <v>0</v>
      </c>
      <c r="BA17" s="356">
        <f>Data!AE16/BA$4*100000*BA$3</f>
        <v>4226.7213322625639</v>
      </c>
      <c r="BB17" s="356">
        <f>Data!AF16/BB$4*100000*BB$3</f>
        <v>0</v>
      </c>
      <c r="BC17" s="356">
        <f>Data!AG16/BC$4*100000*BC$3</f>
        <v>0</v>
      </c>
      <c r="BD17" s="356">
        <f>Data!AH16/BD$4*100000*BD$3</f>
        <v>0</v>
      </c>
      <c r="BE17" s="352"/>
      <c r="BF17" s="352"/>
      <c r="BG17" s="352"/>
      <c r="BH17" s="352"/>
      <c r="BI17" s="352"/>
      <c r="BJ17" s="352"/>
      <c r="BK17" s="352"/>
      <c r="BL17" s="352"/>
      <c r="BM17" s="352"/>
      <c r="BN17" s="352"/>
      <c r="BO17" s="352"/>
      <c r="BP17" s="352"/>
      <c r="BQ17" s="352"/>
      <c r="BR17" s="352"/>
      <c r="BS17" s="352"/>
      <c r="BT17" s="352"/>
      <c r="BU17" s="352"/>
      <c r="BV17" s="352"/>
      <c r="BW17" s="352"/>
    </row>
    <row r="18" spans="1:75" ht="12" customHeight="1">
      <c r="A18" s="30"/>
      <c r="B18" s="129" t="str">
        <f>UPPER(LEFT(TRIM(Data!B17),1)) &amp; MID(TRIM(Data!B17),2,50)</f>
        <v>Gerklų</v>
      </c>
      <c r="C18" s="129" t="str">
        <f>UPPER(LEFT(TRIM(Data!C17),1)) &amp; MID(TRIM(Data!C17),2,50)</f>
        <v>C32</v>
      </c>
      <c r="D18" s="130">
        <f>Data!D17</f>
        <v>163</v>
      </c>
      <c r="E18" s="131">
        <f t="shared" si="0"/>
        <v>12.182980898879764</v>
      </c>
      <c r="F18" s="132">
        <f t="shared" si="4"/>
        <v>10.499199420277407</v>
      </c>
      <c r="G18" s="133">
        <f t="shared" si="1"/>
        <v>7.4556206207075224</v>
      </c>
      <c r="H18" s="77"/>
      <c r="I18" s="77"/>
      <c r="J18" s="77"/>
      <c r="K18" s="77"/>
      <c r="L18" s="77"/>
      <c r="M18" s="77"/>
      <c r="N18" s="77"/>
      <c r="O18" s="60"/>
      <c r="P18" s="389"/>
      <c r="Q18" s="358" t="s">
        <v>353</v>
      </c>
      <c r="R18" s="356">
        <f t="shared" si="2"/>
        <v>1049919.9420277406</v>
      </c>
      <c r="S18" s="356">
        <f>Data!Q17/S$4*100000*S$3</f>
        <v>0</v>
      </c>
      <c r="T18" s="356">
        <f>Data!R17/T$4*100000*T$3</f>
        <v>0</v>
      </c>
      <c r="U18" s="356">
        <f>Data!S17/U$4*100000*U$3</f>
        <v>0</v>
      </c>
      <c r="V18" s="356">
        <f>Data!T17/V$4*100000*V$3</f>
        <v>0</v>
      </c>
      <c r="W18" s="356">
        <f>Data!U17/W$4*100000*W$3</f>
        <v>0</v>
      </c>
      <c r="X18" s="356">
        <f>Data!V17/X$4*100000*X$3</f>
        <v>0</v>
      </c>
      <c r="Y18" s="356">
        <f>Data!W17/Y$4*100000*Y$3</f>
        <v>0</v>
      </c>
      <c r="Z18" s="356">
        <f>Data!X17/Z$4*100000*Z$3</f>
        <v>0</v>
      </c>
      <c r="AA18" s="356">
        <f>Data!Y17/AA$4*100000*AA$3</f>
        <v>44038.544211552777</v>
      </c>
      <c r="AB18" s="356">
        <f>Data!Z17/AB$4*100000*AB$3</f>
        <v>35357.46396064209</v>
      </c>
      <c r="AC18" s="356">
        <f>Data!AA17/AC$4*100000*AC$3</f>
        <v>165506.5446016494</v>
      </c>
      <c r="AD18" s="356">
        <f>Data!AB17/AD$4*100000*AD$3</f>
        <v>161891.22155228775</v>
      </c>
      <c r="AE18" s="356">
        <f>Data!AC17/AE$4*100000*AE$3</f>
        <v>199022.72976831006</v>
      </c>
      <c r="AF18" s="356">
        <f>Data!AD17/AF$4*100000*AF$3</f>
        <v>174699.95283101272</v>
      </c>
      <c r="AG18" s="356">
        <f>Data!AE17/AG$4*100000*AG$3</f>
        <v>158502.04995984616</v>
      </c>
      <c r="AH18" s="356">
        <f>Data!AF17/AH$4*100000*AH$3</f>
        <v>35420.619860847568</v>
      </c>
      <c r="AI18" s="356">
        <f>Data!AG17/AI$4*100000*AI$3</f>
        <v>36164.911998714138</v>
      </c>
      <c r="AJ18" s="356">
        <f>Data!AH17/AJ$4*100000*AJ$3</f>
        <v>39315.903282877924</v>
      </c>
      <c r="AK18" s="358" t="s">
        <v>353</v>
      </c>
      <c r="AL18" s="356">
        <f t="shared" si="3"/>
        <v>745562.06207075226</v>
      </c>
      <c r="AM18" s="356">
        <f>Data!Q17/AM$4*100000*AM$3</f>
        <v>0</v>
      </c>
      <c r="AN18" s="356">
        <f>Data!R17/AN$4*100000*AN$3</f>
        <v>0</v>
      </c>
      <c r="AO18" s="356">
        <f>Data!S17/AO$4*100000*AO$3</f>
        <v>0</v>
      </c>
      <c r="AP18" s="356">
        <f>Data!T17/AP$4*100000*AP$3</f>
        <v>0</v>
      </c>
      <c r="AQ18" s="356">
        <f>Data!U17/AQ$4*100000*AQ$3</f>
        <v>0</v>
      </c>
      <c r="AR18" s="356">
        <f>Data!V17/AR$4*100000*AR$3</f>
        <v>0</v>
      </c>
      <c r="AS18" s="356">
        <f>Data!W17/AS$4*100000*AS$3</f>
        <v>0</v>
      </c>
      <c r="AT18" s="356">
        <f>Data!X17/AT$4*100000*AT$3</f>
        <v>0</v>
      </c>
      <c r="AU18" s="356">
        <f>Data!Y17/AU$4*100000*AU$3</f>
        <v>37747.323609902385</v>
      </c>
      <c r="AV18" s="356">
        <f>Data!Z17/AV$4*100000*AV$3</f>
        <v>30306.397680550363</v>
      </c>
      <c r="AW18" s="356">
        <f>Data!AA17/AW$4*100000*AW$3</f>
        <v>118218.96042974955</v>
      </c>
      <c r="AX18" s="356">
        <f>Data!AB17/AX$4*100000*AX$3</f>
        <v>107927.4810348585</v>
      </c>
      <c r="AY18" s="356">
        <f>Data!AC17/AY$4*100000*AY$3</f>
        <v>159218.18381464804</v>
      </c>
      <c r="AZ18" s="356">
        <f>Data!AD17/AZ$4*100000*AZ$3</f>
        <v>131024.96462325954</v>
      </c>
      <c r="BA18" s="356">
        <f>Data!AE17/BA$4*100000*BA$3</f>
        <v>105668.0333065641</v>
      </c>
      <c r="BB18" s="356">
        <f>Data!AF17/BB$4*100000*BB$3</f>
        <v>17710.309930423784</v>
      </c>
      <c r="BC18" s="356">
        <f>Data!AG17/BC$4*100000*BC$3</f>
        <v>18082.455999357069</v>
      </c>
      <c r="BD18" s="356">
        <f>Data!AH17/BD$4*100000*BD$3</f>
        <v>19657.951641438962</v>
      </c>
      <c r="BE18" s="352"/>
      <c r="BF18" s="352"/>
      <c r="BG18" s="352"/>
      <c r="BH18" s="352"/>
      <c r="BI18" s="352"/>
      <c r="BJ18" s="352"/>
      <c r="BK18" s="352"/>
      <c r="BL18" s="352"/>
      <c r="BM18" s="352"/>
      <c r="BN18" s="352"/>
      <c r="BO18" s="352"/>
      <c r="BP18" s="352"/>
      <c r="BQ18" s="352"/>
      <c r="BR18" s="352"/>
      <c r="BS18" s="352"/>
      <c r="BT18" s="352"/>
      <c r="BU18" s="352"/>
      <c r="BV18" s="352"/>
      <c r="BW18" s="352"/>
    </row>
    <row r="19" spans="1:75" ht="12" customHeight="1">
      <c r="A19" s="30"/>
      <c r="B19" s="134" t="str">
        <f>UPPER(LEFT(TRIM(Data!B18),1)) &amp; MID(TRIM(Data!B18),2,50)</f>
        <v>Plaučių, trachėjos, bronchų</v>
      </c>
      <c r="C19" s="134" t="str">
        <f>UPPER(LEFT(TRIM(Data!C18),1)) &amp; MID(TRIM(Data!C18),2,50)</f>
        <v>C33, C34</v>
      </c>
      <c r="D19" s="135">
        <f>Data!D18</f>
        <v>1191</v>
      </c>
      <c r="E19" s="136">
        <f t="shared" si="0"/>
        <v>89.017976997336191</v>
      </c>
      <c r="F19" s="137">
        <f t="shared" si="4"/>
        <v>73.916469994219369</v>
      </c>
      <c r="G19" s="137">
        <f t="shared" si="1"/>
        <v>50.344353229861433</v>
      </c>
      <c r="H19" s="77"/>
      <c r="I19" s="77"/>
      <c r="J19" s="77"/>
      <c r="K19" s="77"/>
      <c r="L19" s="77"/>
      <c r="M19" s="77"/>
      <c r="N19" s="77"/>
      <c r="O19" s="60"/>
      <c r="P19" s="389"/>
      <c r="Q19" s="358" t="s">
        <v>353</v>
      </c>
      <c r="R19" s="356">
        <f t="shared" si="2"/>
        <v>7391646.9994219365</v>
      </c>
      <c r="S19" s="356">
        <f>Data!Q18/S$4*100000*S$3</f>
        <v>10334.448592577282</v>
      </c>
      <c r="T19" s="356">
        <f>Data!R18/T$4*100000*T$3</f>
        <v>0</v>
      </c>
      <c r="U19" s="356">
        <f>Data!S18/U$4*100000*U$3</f>
        <v>0</v>
      </c>
      <c r="V19" s="356">
        <f>Data!T18/V$4*100000*V$3</f>
        <v>0</v>
      </c>
      <c r="W19" s="356">
        <f>Data!U18/W$4*100000*W$3</f>
        <v>0</v>
      </c>
      <c r="X19" s="356">
        <f>Data!V18/X$4*100000*X$3</f>
        <v>0</v>
      </c>
      <c r="Y19" s="356">
        <f>Data!W18/Y$4*100000*Y$3</f>
        <v>0</v>
      </c>
      <c r="Z19" s="356">
        <f>Data!X18/Z$4*100000*Z$3</f>
        <v>40156.495599995411</v>
      </c>
      <c r="AA19" s="356">
        <f>Data!Y18/AA$4*100000*AA$3</f>
        <v>102756.6031602898</v>
      </c>
      <c r="AB19" s="356">
        <f>Data!Z18/AB$4*100000*AB$3</f>
        <v>134358.36305043995</v>
      </c>
      <c r="AC19" s="356">
        <f>Data!AA18/AC$4*100000*AC$3</f>
        <v>556101.98986154201</v>
      </c>
      <c r="AD19" s="356">
        <f>Data!AB18/AD$4*100000*AD$3</f>
        <v>933987.81664781389</v>
      </c>
      <c r="AE19" s="356">
        <f>Data!AC18/AE$4*100000*AE$3</f>
        <v>1290216.3171186999</v>
      </c>
      <c r="AF19" s="356">
        <f>Data!AD18/AF$4*100000*AF$3</f>
        <v>1432539.6132143044</v>
      </c>
      <c r="AG19" s="356">
        <f>Data!AE18/AG$4*100000*AG$3</f>
        <v>1255336.2356819815</v>
      </c>
      <c r="AH19" s="356">
        <f>Data!AF18/AH$4*100000*AH$3</f>
        <v>824794.43390259321</v>
      </c>
      <c r="AI19" s="356">
        <f>Data!AG18/AI$4*100000*AI$3</f>
        <v>417905.64976291894</v>
      </c>
      <c r="AJ19" s="356">
        <f>Data!AH18/AJ$4*100000*AJ$3</f>
        <v>393159.03282877925</v>
      </c>
      <c r="AK19" s="358" t="s">
        <v>353</v>
      </c>
      <c r="AL19" s="356">
        <f t="shared" si="3"/>
        <v>5034435.3229861436</v>
      </c>
      <c r="AM19" s="356">
        <f>Data!Q18/AM$4*100000*AM$3</f>
        <v>15501.672888865922</v>
      </c>
      <c r="AN19" s="356">
        <f>Data!R18/AN$4*100000*AN$3</f>
        <v>0</v>
      </c>
      <c r="AO19" s="356">
        <f>Data!S18/AO$4*100000*AO$3</f>
        <v>0</v>
      </c>
      <c r="AP19" s="356">
        <f>Data!T18/AP$4*100000*AP$3</f>
        <v>0</v>
      </c>
      <c r="AQ19" s="356">
        <f>Data!U18/AQ$4*100000*AQ$3</f>
        <v>0</v>
      </c>
      <c r="AR19" s="356">
        <f>Data!V18/AR$4*100000*AR$3</f>
        <v>0</v>
      </c>
      <c r="AS19" s="356">
        <f>Data!W18/AS$4*100000*AS$3</f>
        <v>0</v>
      </c>
      <c r="AT19" s="356">
        <f>Data!X18/AT$4*100000*AT$3</f>
        <v>34419.853371424637</v>
      </c>
      <c r="AU19" s="356">
        <f>Data!Y18/AU$4*100000*AU$3</f>
        <v>88077.088423105553</v>
      </c>
      <c r="AV19" s="356">
        <f>Data!Z18/AV$4*100000*AV$3</f>
        <v>115164.31118609139</v>
      </c>
      <c r="AW19" s="356">
        <f>Data!AA18/AW$4*100000*AW$3</f>
        <v>397215.7070439586</v>
      </c>
      <c r="AX19" s="356">
        <f>Data!AB18/AX$4*100000*AX$3</f>
        <v>622658.54443187593</v>
      </c>
      <c r="AY19" s="356">
        <f>Data!AC18/AY$4*100000*AY$3</f>
        <v>1032173.0536949598</v>
      </c>
      <c r="AZ19" s="356">
        <f>Data!AD18/AZ$4*100000*AZ$3</f>
        <v>1074404.7099107283</v>
      </c>
      <c r="BA19" s="356">
        <f>Data!AE18/BA$4*100000*BA$3</f>
        <v>836890.8237879877</v>
      </c>
      <c r="BB19" s="356">
        <f>Data!AF18/BB$4*100000*BB$3</f>
        <v>412397.21695129661</v>
      </c>
      <c r="BC19" s="356">
        <f>Data!AG18/BC$4*100000*BC$3</f>
        <v>208952.82488145947</v>
      </c>
      <c r="BD19" s="356">
        <f>Data!AH18/BD$4*100000*BD$3</f>
        <v>196579.51641438963</v>
      </c>
      <c r="BE19" s="352"/>
      <c r="BF19" s="352"/>
      <c r="BG19" s="352"/>
      <c r="BH19" s="352"/>
      <c r="BI19" s="352"/>
      <c r="BJ19" s="352"/>
      <c r="BK19" s="352"/>
      <c r="BL19" s="352"/>
      <c r="BM19" s="352"/>
      <c r="BN19" s="352"/>
      <c r="BO19" s="352"/>
      <c r="BP19" s="352"/>
      <c r="BQ19" s="352"/>
      <c r="BR19" s="352"/>
      <c r="BS19" s="352"/>
      <c r="BT19" s="352"/>
      <c r="BU19" s="352"/>
      <c r="BV19" s="352"/>
      <c r="BW19" s="352"/>
    </row>
    <row r="20" spans="1:75" ht="12" customHeight="1">
      <c r="A20" s="30"/>
      <c r="B20" s="129" t="str">
        <f>UPPER(LEFT(TRIM(Data!B19),1)) &amp; MID(TRIM(Data!B19),2,50)</f>
        <v>Kitų kvėpavimo sistemos organų</v>
      </c>
      <c r="C20" s="129" t="str">
        <f>UPPER(LEFT(TRIM(Data!C19),1)) &amp; MID(TRIM(Data!C19),2,50)</f>
        <v>C37-C39</v>
      </c>
      <c r="D20" s="130">
        <f>Data!D19</f>
        <v>12</v>
      </c>
      <c r="E20" s="131">
        <f t="shared" si="0"/>
        <v>0.89690656924268197</v>
      </c>
      <c r="F20" s="132">
        <f t="shared" si="4"/>
        <v>0.76759343484338871</v>
      </c>
      <c r="G20" s="133">
        <f t="shared" si="1"/>
        <v>0.60252797837673111</v>
      </c>
      <c r="H20" s="77"/>
      <c r="I20" s="77"/>
      <c r="J20" s="77"/>
      <c r="K20" s="77"/>
      <c r="L20" s="77"/>
      <c r="M20" s="77"/>
      <c r="N20" s="77"/>
      <c r="O20" s="60"/>
      <c r="P20" s="389"/>
      <c r="Q20" s="358" t="s">
        <v>353</v>
      </c>
      <c r="R20" s="356">
        <f t="shared" si="2"/>
        <v>76759.343484338868</v>
      </c>
      <c r="S20" s="356">
        <f>Data!Q19/S$4*100000*S$3</f>
        <v>10334.448592577282</v>
      </c>
      <c r="T20" s="356">
        <f>Data!R19/T$4*100000*T$3</f>
        <v>0</v>
      </c>
      <c r="U20" s="356">
        <f>Data!S19/U$4*100000*U$3</f>
        <v>0</v>
      </c>
      <c r="V20" s="356">
        <f>Data!T19/V$4*100000*V$3</f>
        <v>0</v>
      </c>
      <c r="W20" s="356">
        <f>Data!U19/W$4*100000*W$3</f>
        <v>0</v>
      </c>
      <c r="X20" s="356">
        <f>Data!V19/X$4*100000*X$3</f>
        <v>0</v>
      </c>
      <c r="Y20" s="356">
        <f>Data!W19/Y$4*100000*Y$3</f>
        <v>0</v>
      </c>
      <c r="Z20" s="356">
        <f>Data!X19/Z$4*100000*Z$3</f>
        <v>0</v>
      </c>
      <c r="AA20" s="356">
        <f>Data!Y19/AA$4*100000*AA$3</f>
        <v>0</v>
      </c>
      <c r="AB20" s="356">
        <f>Data!Z19/AB$4*100000*AB$3</f>
        <v>0</v>
      </c>
      <c r="AC20" s="356">
        <f>Data!AA19/AC$4*100000*AC$3</f>
        <v>0</v>
      </c>
      <c r="AD20" s="356">
        <f>Data!AB19/AD$4*100000*AD$3</f>
        <v>0</v>
      </c>
      <c r="AE20" s="356">
        <f>Data!AC19/AE$4*100000*AE$3</f>
        <v>0</v>
      </c>
      <c r="AF20" s="356">
        <f>Data!AD19/AF$4*100000*AF$3</f>
        <v>41927.988679443064</v>
      </c>
      <c r="AG20" s="356">
        <f>Data!AE19/AG$4*100000*AG$3</f>
        <v>6340.0819983938454</v>
      </c>
      <c r="AH20" s="356">
        <f>Data!AF19/AH$4*100000*AH$3</f>
        <v>10120.177103099306</v>
      </c>
      <c r="AI20" s="356">
        <f>Data!AG19/AI$4*100000*AI$3</f>
        <v>8036.6471108253636</v>
      </c>
      <c r="AJ20" s="356">
        <f>Data!AH19/AJ$4*100000*AJ$3</f>
        <v>0</v>
      </c>
      <c r="AK20" s="358" t="s">
        <v>353</v>
      </c>
      <c r="AL20" s="356">
        <f t="shared" si="3"/>
        <v>60252.797837673112</v>
      </c>
      <c r="AM20" s="356">
        <f>Data!Q19/AM$4*100000*AM$3</f>
        <v>15501.672888865922</v>
      </c>
      <c r="AN20" s="356">
        <f>Data!R19/AN$4*100000*AN$3</f>
        <v>0</v>
      </c>
      <c r="AO20" s="356">
        <f>Data!S19/AO$4*100000*AO$3</f>
        <v>0</v>
      </c>
      <c r="AP20" s="356">
        <f>Data!T19/AP$4*100000*AP$3</f>
        <v>0</v>
      </c>
      <c r="AQ20" s="356">
        <f>Data!U19/AQ$4*100000*AQ$3</f>
        <v>0</v>
      </c>
      <c r="AR20" s="356">
        <f>Data!V19/AR$4*100000*AR$3</f>
        <v>0</v>
      </c>
      <c r="AS20" s="356">
        <f>Data!W19/AS$4*100000*AS$3</f>
        <v>0</v>
      </c>
      <c r="AT20" s="356">
        <f>Data!X19/AT$4*100000*AT$3</f>
        <v>0</v>
      </c>
      <c r="AU20" s="356">
        <f>Data!Y19/AU$4*100000*AU$3</f>
        <v>0</v>
      </c>
      <c r="AV20" s="356">
        <f>Data!Z19/AV$4*100000*AV$3</f>
        <v>0</v>
      </c>
      <c r="AW20" s="356">
        <f>Data!AA19/AW$4*100000*AW$3</f>
        <v>0</v>
      </c>
      <c r="AX20" s="356">
        <f>Data!AB19/AX$4*100000*AX$3</f>
        <v>0</v>
      </c>
      <c r="AY20" s="356">
        <f>Data!AC19/AY$4*100000*AY$3</f>
        <v>0</v>
      </c>
      <c r="AZ20" s="356">
        <f>Data!AD19/AZ$4*100000*AZ$3</f>
        <v>31445.991509582294</v>
      </c>
      <c r="BA20" s="356">
        <f>Data!AE19/BA$4*100000*BA$3</f>
        <v>4226.7213322625639</v>
      </c>
      <c r="BB20" s="356">
        <f>Data!AF19/BB$4*100000*BB$3</f>
        <v>5060.0885515496529</v>
      </c>
      <c r="BC20" s="356">
        <f>Data!AG19/BC$4*100000*BC$3</f>
        <v>4018.3235554126818</v>
      </c>
      <c r="BD20" s="356">
        <f>Data!AH19/BD$4*100000*BD$3</f>
        <v>0</v>
      </c>
      <c r="BE20" s="352"/>
      <c r="BF20" s="352"/>
      <c r="BG20" s="352"/>
      <c r="BH20" s="352"/>
      <c r="BI20" s="352"/>
      <c r="BJ20" s="352"/>
      <c r="BK20" s="352"/>
      <c r="BL20" s="352"/>
      <c r="BM20" s="352"/>
      <c r="BN20" s="352"/>
      <c r="BO20" s="352"/>
      <c r="BP20" s="352"/>
      <c r="BQ20" s="352"/>
      <c r="BR20" s="352"/>
      <c r="BS20" s="352"/>
      <c r="BT20" s="352"/>
      <c r="BU20" s="352"/>
      <c r="BV20" s="352"/>
      <c r="BW20" s="352"/>
    </row>
    <row r="21" spans="1:75" ht="12" customHeight="1">
      <c r="A21" s="30"/>
      <c r="B21" s="134" t="str">
        <f>UPPER(LEFT(TRIM(Data!B20),1)) &amp; MID(TRIM(Data!B20),2,50)</f>
        <v>Kaulų ir jungiamojo audinio</v>
      </c>
      <c r="C21" s="134" t="str">
        <f>UPPER(LEFT(TRIM(Data!C20),1)) &amp; MID(TRIM(Data!C20),2,50)</f>
        <v>C40-C41, C45-C47, C49</v>
      </c>
      <c r="D21" s="135">
        <f>Data!D20</f>
        <v>53</v>
      </c>
      <c r="E21" s="136">
        <f t="shared" si="0"/>
        <v>3.9613373474885121</v>
      </c>
      <c r="F21" s="137">
        <f t="shared" si="4"/>
        <v>3.6121346463266644</v>
      </c>
      <c r="G21" s="137">
        <f t="shared" si="1"/>
        <v>2.9913338178610949</v>
      </c>
      <c r="H21" s="77"/>
      <c r="I21" s="77"/>
      <c r="J21" s="77"/>
      <c r="K21" s="77"/>
      <c r="L21" s="77"/>
      <c r="M21" s="77"/>
      <c r="N21" s="77"/>
      <c r="O21" s="60"/>
      <c r="P21" s="389"/>
      <c r="Q21" s="358" t="s">
        <v>353</v>
      </c>
      <c r="R21" s="356">
        <f t="shared" si="2"/>
        <v>361213.46463266644</v>
      </c>
      <c r="S21" s="356">
        <f>Data!Q20/S$4*100000*S$3</f>
        <v>20668.897185154565</v>
      </c>
      <c r="T21" s="356">
        <f>Data!R20/T$4*100000*T$3</f>
        <v>9821.94221891706</v>
      </c>
      <c r="U21" s="356">
        <f>Data!S20/U$4*100000*U$3</f>
        <v>30502.86145890829</v>
      </c>
      <c r="V21" s="356">
        <f>Data!T20/V$4*100000*V$3</f>
        <v>0</v>
      </c>
      <c r="W21" s="356">
        <f>Data!U20/W$4*100000*W$3</f>
        <v>6766.2268619206407</v>
      </c>
      <c r="X21" s="356">
        <f>Data!V20/X$4*100000*X$3</f>
        <v>6967.1845607190135</v>
      </c>
      <c r="Y21" s="356">
        <f>Data!W20/Y$4*100000*Y$3</f>
        <v>15498.898471144374</v>
      </c>
      <c r="Z21" s="356">
        <f>Data!X20/Z$4*100000*Z$3</f>
        <v>32125.196479996328</v>
      </c>
      <c r="AA21" s="356">
        <f>Data!Y20/AA$4*100000*AA$3</f>
        <v>14679.514737184261</v>
      </c>
      <c r="AB21" s="356">
        <f>Data!Z20/AB$4*100000*AB$3</f>
        <v>0</v>
      </c>
      <c r="AC21" s="356">
        <f>Data!AA20/AC$4*100000*AC$3</f>
        <v>26481.047136263904</v>
      </c>
      <c r="AD21" s="356">
        <f>Data!AB20/AD$4*100000*AD$3</f>
        <v>43586.098110231316</v>
      </c>
      <c r="AE21" s="356">
        <f>Data!AC20/AE$4*100000*AE$3</f>
        <v>48039.969254419681</v>
      </c>
      <c r="AF21" s="356">
        <f>Data!AD20/AF$4*100000*AF$3</f>
        <v>0</v>
      </c>
      <c r="AG21" s="356">
        <f>Data!AE20/AG$4*100000*AG$3</f>
        <v>38040.49199036308</v>
      </c>
      <c r="AH21" s="356">
        <f>Data!AF20/AH$4*100000*AH$3</f>
        <v>15180.265654648958</v>
      </c>
      <c r="AI21" s="356">
        <f>Data!AG20/AI$4*100000*AI$3</f>
        <v>20091.617777063409</v>
      </c>
      <c r="AJ21" s="356">
        <f>Data!AH20/AJ$4*100000*AJ$3</f>
        <v>32763.252735731607</v>
      </c>
      <c r="AK21" s="358" t="s">
        <v>353</v>
      </c>
      <c r="AL21" s="356">
        <f t="shared" si="3"/>
        <v>299133.38178610947</v>
      </c>
      <c r="AM21" s="356">
        <f>Data!Q20/AM$4*100000*AM$3</f>
        <v>31003.345777731844</v>
      </c>
      <c r="AN21" s="356">
        <f>Data!R20/AN$4*100000*AN$3</f>
        <v>14031.346027024372</v>
      </c>
      <c r="AO21" s="356">
        <f>Data!S20/AO$4*100000*AO$3</f>
        <v>39217.964732882087</v>
      </c>
      <c r="AP21" s="356">
        <f>Data!T20/AP$4*100000*AP$3</f>
        <v>0</v>
      </c>
      <c r="AQ21" s="356">
        <f>Data!U20/AQ$4*100000*AQ$3</f>
        <v>7732.8306993378756</v>
      </c>
      <c r="AR21" s="356">
        <f>Data!V20/AR$4*100000*AR$3</f>
        <v>7962.4966408217297</v>
      </c>
      <c r="AS21" s="356">
        <f>Data!W20/AS$4*100000*AS$3</f>
        <v>13284.77011812375</v>
      </c>
      <c r="AT21" s="356">
        <f>Data!X20/AT$4*100000*AT$3</f>
        <v>27535.88269713971</v>
      </c>
      <c r="AU21" s="356">
        <f>Data!Y20/AU$4*100000*AU$3</f>
        <v>12582.441203300796</v>
      </c>
      <c r="AV21" s="356">
        <f>Data!Z20/AV$4*100000*AV$3</f>
        <v>0</v>
      </c>
      <c r="AW21" s="356">
        <f>Data!AA20/AW$4*100000*AW$3</f>
        <v>18915.03366875993</v>
      </c>
      <c r="AX21" s="356">
        <f>Data!AB20/AX$4*100000*AX$3</f>
        <v>29057.398740154211</v>
      </c>
      <c r="AY21" s="356">
        <f>Data!AC20/AY$4*100000*AY$3</f>
        <v>38431.975403535747</v>
      </c>
      <c r="AZ21" s="356">
        <f>Data!AD20/AZ$4*100000*AZ$3</f>
        <v>0</v>
      </c>
      <c r="BA21" s="356">
        <f>Data!AE20/BA$4*100000*BA$3</f>
        <v>25360.327993575385</v>
      </c>
      <c r="BB21" s="356">
        <f>Data!AF20/BB$4*100000*BB$3</f>
        <v>7590.132827324479</v>
      </c>
      <c r="BC21" s="356">
        <f>Data!AG20/BC$4*100000*BC$3</f>
        <v>10045.808888531705</v>
      </c>
      <c r="BD21" s="356">
        <f>Data!AH20/BD$4*100000*BD$3</f>
        <v>16381.626367865803</v>
      </c>
      <c r="BE21" s="352"/>
      <c r="BF21" s="352"/>
      <c r="BG21" s="352"/>
      <c r="BH21" s="352"/>
      <c r="BI21" s="352"/>
      <c r="BJ21" s="352"/>
      <c r="BK21" s="352"/>
      <c r="BL21" s="352"/>
      <c r="BM21" s="352"/>
      <c r="BN21" s="352"/>
      <c r="BO21" s="352"/>
      <c r="BP21" s="352"/>
      <c r="BQ21" s="352"/>
      <c r="BR21" s="352"/>
      <c r="BS21" s="352"/>
      <c r="BT21" s="352"/>
      <c r="BU21" s="352"/>
      <c r="BV21" s="352"/>
      <c r="BW21" s="352"/>
    </row>
    <row r="22" spans="1:75" ht="12" customHeight="1">
      <c r="A22" s="30"/>
      <c r="B22" s="129" t="str">
        <f>UPPER(LEFT(TRIM(Data!B21),1)) &amp; MID(TRIM(Data!B21),2,50)</f>
        <v>Odos melanoma</v>
      </c>
      <c r="C22" s="129" t="str">
        <f>UPPER(LEFT(TRIM(Data!C21),1)) &amp; MID(TRIM(Data!C21),2,50)</f>
        <v>C43</v>
      </c>
      <c r="D22" s="130">
        <f>Data!D21</f>
        <v>139</v>
      </c>
      <c r="E22" s="131">
        <f t="shared" si="0"/>
        <v>10.3891677603944</v>
      </c>
      <c r="F22" s="132">
        <f t="shared" si="4"/>
        <v>8.9418180842096397</v>
      </c>
      <c r="G22" s="133">
        <f t="shared" si="1"/>
        <v>6.4788126332066387</v>
      </c>
      <c r="H22" s="77"/>
      <c r="I22" s="77"/>
      <c r="J22" s="77"/>
      <c r="K22" s="77"/>
      <c r="L22" s="77"/>
      <c r="M22" s="77"/>
      <c r="N22" s="77"/>
      <c r="O22" s="60"/>
      <c r="P22" s="389"/>
      <c r="Q22" s="358" t="s">
        <v>353</v>
      </c>
      <c r="R22" s="356">
        <f t="shared" si="2"/>
        <v>894181.80842096393</v>
      </c>
      <c r="S22" s="356">
        <f>Data!Q21/S$4*100000*S$3</f>
        <v>0</v>
      </c>
      <c r="T22" s="356">
        <f>Data!R21/T$4*100000*T$3</f>
        <v>0</v>
      </c>
      <c r="U22" s="356">
        <f>Data!S21/U$4*100000*U$3</f>
        <v>0</v>
      </c>
      <c r="V22" s="356">
        <f>Data!T21/V$4*100000*V$3</f>
        <v>0</v>
      </c>
      <c r="W22" s="356">
        <f>Data!U21/W$4*100000*W$3</f>
        <v>13532.453723841281</v>
      </c>
      <c r="X22" s="356">
        <f>Data!V21/X$4*100000*X$3</f>
        <v>6967.1845607190135</v>
      </c>
      <c r="Y22" s="356">
        <f>Data!W21/Y$4*100000*Y$3</f>
        <v>7749.4492355721868</v>
      </c>
      <c r="Z22" s="356">
        <f>Data!X21/Z$4*100000*Z$3</f>
        <v>48187.79471999449</v>
      </c>
      <c r="AA22" s="356">
        <f>Data!Y21/AA$4*100000*AA$3</f>
        <v>73397.573685921292</v>
      </c>
      <c r="AB22" s="356">
        <f>Data!Z21/AB$4*100000*AB$3</f>
        <v>84857.913505541015</v>
      </c>
      <c r="AC22" s="356">
        <f>Data!AA21/AC$4*100000*AC$3</f>
        <v>99303.926760989634</v>
      </c>
      <c r="AD22" s="356">
        <f>Data!AB21/AD$4*100000*AD$3</f>
        <v>105851.95255341892</v>
      </c>
      <c r="AE22" s="356">
        <f>Data!AC21/AE$4*100000*AE$3</f>
        <v>109805.64401010213</v>
      </c>
      <c r="AF22" s="356">
        <f>Data!AD21/AF$4*100000*AF$3</f>
        <v>97831.97358536713</v>
      </c>
      <c r="AG22" s="356">
        <f>Data!AE21/AG$4*100000*AG$3</f>
        <v>88761.147977513843</v>
      </c>
      <c r="AH22" s="356">
        <f>Data!AF21/AH$4*100000*AH$3</f>
        <v>75901.328273244784</v>
      </c>
      <c r="AI22" s="356">
        <f>Data!AG21/AI$4*100000*AI$3</f>
        <v>36164.911998714138</v>
      </c>
      <c r="AJ22" s="356">
        <f>Data!AH21/AJ$4*100000*AJ$3</f>
        <v>45868.553830024248</v>
      </c>
      <c r="AK22" s="358" t="s">
        <v>353</v>
      </c>
      <c r="AL22" s="356">
        <f t="shared" si="3"/>
        <v>647881.26332066383</v>
      </c>
      <c r="AM22" s="356">
        <f>Data!Q21/AM$4*100000*AM$3</f>
        <v>0</v>
      </c>
      <c r="AN22" s="356">
        <f>Data!R21/AN$4*100000*AN$3</f>
        <v>0</v>
      </c>
      <c r="AO22" s="356">
        <f>Data!S21/AO$4*100000*AO$3</f>
        <v>0</v>
      </c>
      <c r="AP22" s="356">
        <f>Data!T21/AP$4*100000*AP$3</f>
        <v>0</v>
      </c>
      <c r="AQ22" s="356">
        <f>Data!U21/AQ$4*100000*AQ$3</f>
        <v>15465.661398675751</v>
      </c>
      <c r="AR22" s="356">
        <f>Data!V21/AR$4*100000*AR$3</f>
        <v>7962.4966408217297</v>
      </c>
      <c r="AS22" s="356">
        <f>Data!W21/AS$4*100000*AS$3</f>
        <v>6642.3850590618749</v>
      </c>
      <c r="AT22" s="356">
        <f>Data!X21/AT$4*100000*AT$3</f>
        <v>41303.82404570956</v>
      </c>
      <c r="AU22" s="356">
        <f>Data!Y21/AU$4*100000*AU$3</f>
        <v>62912.206016503966</v>
      </c>
      <c r="AV22" s="356">
        <f>Data!Z21/AV$4*100000*AV$3</f>
        <v>72735.35443332087</v>
      </c>
      <c r="AW22" s="356">
        <f>Data!AA21/AW$4*100000*AW$3</f>
        <v>70931.376257849741</v>
      </c>
      <c r="AX22" s="356">
        <f>Data!AB21/AX$4*100000*AX$3</f>
        <v>70567.968368945934</v>
      </c>
      <c r="AY22" s="356">
        <f>Data!AC21/AY$4*100000*AY$3</f>
        <v>87844.515208081706</v>
      </c>
      <c r="AZ22" s="356">
        <f>Data!AD21/AZ$4*100000*AZ$3</f>
        <v>73373.980189025344</v>
      </c>
      <c r="BA22" s="356">
        <f>Data!AE21/BA$4*100000*BA$3</f>
        <v>59174.098651675893</v>
      </c>
      <c r="BB22" s="356">
        <f>Data!AF21/BB$4*100000*BB$3</f>
        <v>37950.664136622392</v>
      </c>
      <c r="BC22" s="356">
        <f>Data!AG21/BC$4*100000*BC$3</f>
        <v>18082.455999357069</v>
      </c>
      <c r="BD22" s="356">
        <f>Data!AH21/BD$4*100000*BD$3</f>
        <v>22934.276915012124</v>
      </c>
      <c r="BE22" s="352"/>
      <c r="BF22" s="352"/>
      <c r="BG22" s="352"/>
      <c r="BH22" s="352"/>
      <c r="BI22" s="352"/>
      <c r="BJ22" s="352"/>
      <c r="BK22" s="352"/>
      <c r="BL22" s="352"/>
      <c r="BM22" s="352"/>
      <c r="BN22" s="352"/>
      <c r="BO22" s="352"/>
      <c r="BP22" s="352"/>
      <c r="BQ22" s="352"/>
      <c r="BR22" s="352"/>
      <c r="BS22" s="352"/>
      <c r="BT22" s="352"/>
      <c r="BU22" s="352"/>
      <c r="BV22" s="352"/>
      <c r="BW22" s="352"/>
    </row>
    <row r="23" spans="1:75" ht="12" customHeight="1">
      <c r="A23" s="30"/>
      <c r="B23" s="134" t="str">
        <f>UPPER(LEFT(TRIM(Data!B22),1)) &amp; MID(TRIM(Data!B22),2,50)</f>
        <v>Kiti odos piktybiniai navikai</v>
      </c>
      <c r="C23" s="134" t="str">
        <f>UPPER(LEFT(TRIM(Data!C22),1)) &amp; MID(TRIM(Data!C22),2,50)</f>
        <v>C44</v>
      </c>
      <c r="D23" s="135">
        <f>Data!D22</f>
        <v>823</v>
      </c>
      <c r="E23" s="136">
        <f t="shared" si="0"/>
        <v>61.512842207227266</v>
      </c>
      <c r="F23" s="137">
        <f t="shared" si="4"/>
        <v>50.198438442924768</v>
      </c>
      <c r="G23" s="137">
        <f t="shared" si="1"/>
        <v>33.46159735212521</v>
      </c>
      <c r="H23" s="77"/>
      <c r="I23" s="77"/>
      <c r="J23" s="77"/>
      <c r="K23" s="77"/>
      <c r="L23" s="77"/>
      <c r="M23" s="77"/>
      <c r="N23" s="77"/>
      <c r="O23" s="60"/>
      <c r="P23" s="389"/>
      <c r="Q23" s="358" t="s">
        <v>353</v>
      </c>
      <c r="R23" s="356">
        <f t="shared" si="2"/>
        <v>5019843.8442924768</v>
      </c>
      <c r="S23" s="356">
        <f>Data!Q22/S$4*100000*S$3</f>
        <v>0</v>
      </c>
      <c r="T23" s="356">
        <f>Data!R22/T$4*100000*T$3</f>
        <v>0</v>
      </c>
      <c r="U23" s="356">
        <f>Data!S22/U$4*100000*U$3</f>
        <v>0</v>
      </c>
      <c r="V23" s="356">
        <f>Data!T22/V$4*100000*V$3</f>
        <v>0</v>
      </c>
      <c r="W23" s="356">
        <f>Data!U22/W$4*100000*W$3</f>
        <v>6766.2268619206407</v>
      </c>
      <c r="X23" s="356">
        <f>Data!V22/X$4*100000*X$3</f>
        <v>48770.291925033096</v>
      </c>
      <c r="Y23" s="356">
        <f>Data!W22/Y$4*100000*Y$3</f>
        <v>30997.796942288747</v>
      </c>
      <c r="Z23" s="356">
        <f>Data!X22/Z$4*100000*Z$3</f>
        <v>80312.991199990822</v>
      </c>
      <c r="AA23" s="356">
        <f>Data!Y22/AA$4*100000*AA$3</f>
        <v>139455.39000325048</v>
      </c>
      <c r="AB23" s="356">
        <f>Data!Z22/AB$4*100000*AB$3</f>
        <v>190930.30538746732</v>
      </c>
      <c r="AC23" s="356">
        <f>Data!AA22/AC$4*100000*AC$3</f>
        <v>324392.82741923275</v>
      </c>
      <c r="AD23" s="356">
        <f>Data!AB22/AD$4*100000*AD$3</f>
        <v>423407.81021367566</v>
      </c>
      <c r="AE23" s="356">
        <f>Data!AC22/AE$4*100000*AE$3</f>
        <v>521576.80904798507</v>
      </c>
      <c r="AF23" s="356">
        <f>Data!AD22/AF$4*100000*AF$3</f>
        <v>873499.76415506366</v>
      </c>
      <c r="AG23" s="356">
        <f>Data!AE22/AG$4*100000*AG$3</f>
        <v>767149.92180565535</v>
      </c>
      <c r="AH23" s="356">
        <f>Data!AF22/AH$4*100000*AH$3</f>
        <v>667931.68880455417</v>
      </c>
      <c r="AI23" s="356">
        <f>Data!AG22/AI$4*100000*AI$3</f>
        <v>413887.32620750624</v>
      </c>
      <c r="AJ23" s="356">
        <f>Data!AH22/AJ$4*100000*AJ$3</f>
        <v>530764.69431885192</v>
      </c>
      <c r="AK23" s="358" t="s">
        <v>353</v>
      </c>
      <c r="AL23" s="356">
        <f t="shared" si="3"/>
        <v>3346159.7352125207</v>
      </c>
      <c r="AM23" s="356">
        <f>Data!Q22/AM$4*100000*AM$3</f>
        <v>0</v>
      </c>
      <c r="AN23" s="356">
        <f>Data!R22/AN$4*100000*AN$3</f>
        <v>0</v>
      </c>
      <c r="AO23" s="356">
        <f>Data!S22/AO$4*100000*AO$3</f>
        <v>0</v>
      </c>
      <c r="AP23" s="356">
        <f>Data!T22/AP$4*100000*AP$3</f>
        <v>0</v>
      </c>
      <c r="AQ23" s="356">
        <f>Data!U22/AQ$4*100000*AQ$3</f>
        <v>7732.8306993378756</v>
      </c>
      <c r="AR23" s="356">
        <f>Data!V22/AR$4*100000*AR$3</f>
        <v>55737.476485752115</v>
      </c>
      <c r="AS23" s="356">
        <f>Data!W22/AS$4*100000*AS$3</f>
        <v>26569.5402362475</v>
      </c>
      <c r="AT23" s="356">
        <f>Data!X22/AT$4*100000*AT$3</f>
        <v>68839.706742849274</v>
      </c>
      <c r="AU23" s="356">
        <f>Data!Y22/AU$4*100000*AU$3</f>
        <v>119533.19143135754</v>
      </c>
      <c r="AV23" s="356">
        <f>Data!Z22/AV$4*100000*AV$3</f>
        <v>163654.54747497197</v>
      </c>
      <c r="AW23" s="356">
        <f>Data!AA22/AW$4*100000*AW$3</f>
        <v>231709.16244230914</v>
      </c>
      <c r="AX23" s="356">
        <f>Data!AB22/AX$4*100000*AX$3</f>
        <v>282271.87347578374</v>
      </c>
      <c r="AY23" s="356">
        <f>Data!AC22/AY$4*100000*AY$3</f>
        <v>417261.44723838801</v>
      </c>
      <c r="AZ23" s="356">
        <f>Data!AD22/AZ$4*100000*AZ$3</f>
        <v>655124.82311629772</v>
      </c>
      <c r="BA23" s="356">
        <f>Data!AE22/BA$4*100000*BA$3</f>
        <v>511433.28120377025</v>
      </c>
      <c r="BB23" s="356">
        <f>Data!AF22/BB$4*100000*BB$3</f>
        <v>333965.84440227709</v>
      </c>
      <c r="BC23" s="356">
        <f>Data!AG22/BC$4*100000*BC$3</f>
        <v>206943.66310375312</v>
      </c>
      <c r="BD23" s="356">
        <f>Data!AH22/BD$4*100000*BD$3</f>
        <v>265382.34715942596</v>
      </c>
      <c r="BE23" s="352"/>
      <c r="BF23" s="352"/>
      <c r="BG23" s="352"/>
      <c r="BH23" s="352"/>
      <c r="BI23" s="352"/>
      <c r="BJ23" s="352"/>
      <c r="BK23" s="352"/>
      <c r="BL23" s="352"/>
      <c r="BM23" s="352"/>
      <c r="BN23" s="352"/>
      <c r="BO23" s="352"/>
      <c r="BP23" s="352"/>
      <c r="BQ23" s="352"/>
      <c r="BR23" s="352"/>
      <c r="BS23" s="352"/>
      <c r="BT23" s="352"/>
      <c r="BU23" s="352"/>
      <c r="BV23" s="352"/>
      <c r="BW23" s="352"/>
    </row>
    <row r="24" spans="1:75" ht="12" customHeight="1">
      <c r="A24" s="30"/>
      <c r="B24" s="129" t="str">
        <f>UPPER(LEFT(TRIM(Data!B23),1)) &amp; MID(TRIM(Data!B23),2,50)</f>
        <v>Krūties</v>
      </c>
      <c r="C24" s="129" t="str">
        <f>UPPER(LEFT(TRIM(Data!C23),1)) &amp; MID(TRIM(Data!C23),2,50)</f>
        <v>C50</v>
      </c>
      <c r="D24" s="130">
        <f>Data!D23</f>
        <v>8</v>
      </c>
      <c r="E24" s="131">
        <f t="shared" si="0"/>
        <v>0.59793771282845465</v>
      </c>
      <c r="F24" s="132">
        <f t="shared" si="4"/>
        <v>0.47178230225761048</v>
      </c>
      <c r="G24" s="133">
        <f t="shared" si="1"/>
        <v>0.30679743613698679</v>
      </c>
      <c r="H24" s="77"/>
      <c r="I24" s="77"/>
      <c r="J24" s="77"/>
      <c r="K24" s="77"/>
      <c r="L24" s="77"/>
      <c r="M24" s="77"/>
      <c r="N24" s="77"/>
      <c r="O24" s="60"/>
      <c r="P24" s="389"/>
      <c r="Q24" s="358" t="s">
        <v>353</v>
      </c>
      <c r="R24" s="356">
        <f t="shared" si="2"/>
        <v>47178.23022576105</v>
      </c>
      <c r="S24" s="356">
        <f>Data!Q23/S$4*100000*S$3</f>
        <v>0</v>
      </c>
      <c r="T24" s="356">
        <f>Data!R23/T$4*100000*T$3</f>
        <v>0</v>
      </c>
      <c r="U24" s="356">
        <f>Data!S23/U$4*100000*U$3</f>
        <v>0</v>
      </c>
      <c r="V24" s="356">
        <f>Data!T23/V$4*100000*V$3</f>
        <v>0</v>
      </c>
      <c r="W24" s="356">
        <f>Data!U23/W$4*100000*W$3</f>
        <v>0</v>
      </c>
      <c r="X24" s="356">
        <f>Data!V23/X$4*100000*X$3</f>
        <v>0</v>
      </c>
      <c r="Y24" s="356">
        <f>Data!W23/Y$4*100000*Y$3</f>
        <v>0</v>
      </c>
      <c r="Z24" s="356">
        <f>Data!X23/Z$4*100000*Z$3</f>
        <v>8031.299119999082</v>
      </c>
      <c r="AA24" s="356">
        <f>Data!Y23/AA$4*100000*AA$3</f>
        <v>0</v>
      </c>
      <c r="AB24" s="356">
        <f>Data!Z23/AB$4*100000*AB$3</f>
        <v>0</v>
      </c>
      <c r="AC24" s="356">
        <f>Data!AA23/AC$4*100000*AC$3</f>
        <v>6620.2617840659759</v>
      </c>
      <c r="AD24" s="356">
        <f>Data!AB23/AD$4*100000*AD$3</f>
        <v>0</v>
      </c>
      <c r="AE24" s="356">
        <f>Data!AC23/AE$4*100000*AE$3</f>
        <v>0</v>
      </c>
      <c r="AF24" s="356">
        <f>Data!AD23/AF$4*100000*AF$3</f>
        <v>6987.9981132405092</v>
      </c>
      <c r="AG24" s="356">
        <f>Data!AE23/AG$4*100000*AG$3</f>
        <v>6340.0819983938454</v>
      </c>
      <c r="AH24" s="356">
        <f>Data!AF23/AH$4*100000*AH$3</f>
        <v>15180.265654648958</v>
      </c>
      <c r="AI24" s="356">
        <f>Data!AG23/AI$4*100000*AI$3</f>
        <v>4018.3235554126818</v>
      </c>
      <c r="AJ24" s="356">
        <f>Data!AH23/AJ$4*100000*AJ$3</f>
        <v>0</v>
      </c>
      <c r="AK24" s="358" t="s">
        <v>353</v>
      </c>
      <c r="AL24" s="356">
        <f t="shared" si="3"/>
        <v>30679.743613698676</v>
      </c>
      <c r="AM24" s="356">
        <f>Data!Q23/AM$4*100000*AM$3</f>
        <v>0</v>
      </c>
      <c r="AN24" s="356">
        <f>Data!R23/AN$4*100000*AN$3</f>
        <v>0</v>
      </c>
      <c r="AO24" s="356">
        <f>Data!S23/AO$4*100000*AO$3</f>
        <v>0</v>
      </c>
      <c r="AP24" s="356">
        <f>Data!T23/AP$4*100000*AP$3</f>
        <v>0</v>
      </c>
      <c r="AQ24" s="356">
        <f>Data!U23/AQ$4*100000*AQ$3</f>
        <v>0</v>
      </c>
      <c r="AR24" s="356">
        <f>Data!V23/AR$4*100000*AR$3</f>
        <v>0</v>
      </c>
      <c r="AS24" s="356">
        <f>Data!W23/AS$4*100000*AS$3</f>
        <v>0</v>
      </c>
      <c r="AT24" s="356">
        <f>Data!X23/AT$4*100000*AT$3</f>
        <v>6883.9706742849276</v>
      </c>
      <c r="AU24" s="356">
        <f>Data!Y23/AU$4*100000*AU$3</f>
        <v>0</v>
      </c>
      <c r="AV24" s="356">
        <f>Data!Z23/AV$4*100000*AV$3</f>
        <v>0</v>
      </c>
      <c r="AW24" s="356">
        <f>Data!AA23/AW$4*100000*AW$3</f>
        <v>4728.7584171899825</v>
      </c>
      <c r="AX24" s="356">
        <f>Data!AB23/AX$4*100000*AX$3</f>
        <v>0</v>
      </c>
      <c r="AY24" s="356">
        <f>Data!AC23/AY$4*100000*AY$3</f>
        <v>0</v>
      </c>
      <c r="AZ24" s="356">
        <f>Data!AD23/AZ$4*100000*AZ$3</f>
        <v>5240.9985849303821</v>
      </c>
      <c r="BA24" s="356">
        <f>Data!AE23/BA$4*100000*BA$3</f>
        <v>4226.7213322625639</v>
      </c>
      <c r="BB24" s="356">
        <f>Data!AF23/BB$4*100000*BB$3</f>
        <v>7590.132827324479</v>
      </c>
      <c r="BC24" s="356">
        <f>Data!AG23/BC$4*100000*BC$3</f>
        <v>2009.1617777063409</v>
      </c>
      <c r="BD24" s="356">
        <f>Data!AH23/BD$4*100000*BD$3</f>
        <v>0</v>
      </c>
      <c r="BE24" s="352"/>
      <c r="BF24" s="352"/>
      <c r="BG24" s="352"/>
      <c r="BH24" s="352"/>
      <c r="BI24" s="352"/>
      <c r="BJ24" s="352"/>
      <c r="BK24" s="352"/>
      <c r="BL24" s="352"/>
      <c r="BM24" s="352"/>
      <c r="BN24" s="352"/>
      <c r="BO24" s="352"/>
      <c r="BP24" s="352"/>
      <c r="BQ24" s="352"/>
      <c r="BR24" s="352"/>
      <c r="BS24" s="352"/>
      <c r="BT24" s="352"/>
      <c r="BU24" s="352"/>
      <c r="BV24" s="352"/>
      <c r="BW24" s="352"/>
    </row>
    <row r="25" spans="1:75" ht="12" customHeight="1">
      <c r="A25" s="30"/>
      <c r="B25" s="134" t="str">
        <f>UPPER(LEFT(TRIM(Data!B28),1)) &amp; MID(TRIM(Data!B28),2,50)</f>
        <v>Priešinės liaukos</v>
      </c>
      <c r="C25" s="134" t="str">
        <f>UPPER(LEFT(TRIM(Data!C28),1)) &amp; MID(TRIM(Data!C28),2,50)</f>
        <v>C61</v>
      </c>
      <c r="D25" s="135">
        <f>Data!D28</f>
        <v>2967</v>
      </c>
      <c r="E25" s="136">
        <f t="shared" si="0"/>
        <v>221.7601492452531</v>
      </c>
      <c r="F25" s="137">
        <f t="shared" si="4"/>
        <v>188.46035501880945</v>
      </c>
      <c r="G25" s="137">
        <f t="shared" si="1"/>
        <v>131.20719014405944</v>
      </c>
      <c r="H25" s="77"/>
      <c r="I25" s="77"/>
      <c r="J25" s="77"/>
      <c r="K25" s="77"/>
      <c r="L25" s="77"/>
      <c r="M25" s="77"/>
      <c r="N25" s="77"/>
      <c r="O25" s="58"/>
      <c r="P25" s="389"/>
      <c r="Q25" s="358" t="s">
        <v>353</v>
      </c>
      <c r="R25" s="356">
        <f t="shared" si="2"/>
        <v>18846035.501880944</v>
      </c>
      <c r="S25" s="356">
        <f>Data!Q28/S$4*100000*S$3</f>
        <v>0</v>
      </c>
      <c r="T25" s="356">
        <f>Data!R28/T$4*100000*T$3</f>
        <v>0</v>
      </c>
      <c r="U25" s="356">
        <f>Data!S28/U$4*100000*U$3</f>
        <v>0</v>
      </c>
      <c r="V25" s="356">
        <f>Data!T28/V$4*100000*V$3</f>
        <v>0</v>
      </c>
      <c r="W25" s="356">
        <f>Data!U28/W$4*100000*W$3</f>
        <v>0</v>
      </c>
      <c r="X25" s="356">
        <f>Data!V28/X$4*100000*X$3</f>
        <v>0</v>
      </c>
      <c r="Y25" s="356">
        <f>Data!W28/Y$4*100000*Y$3</f>
        <v>0</v>
      </c>
      <c r="Z25" s="356">
        <f>Data!X28/Z$4*100000*Z$3</f>
        <v>0</v>
      </c>
      <c r="AA25" s="356">
        <f>Data!Y28/AA$4*100000*AA$3</f>
        <v>36698.786842960646</v>
      </c>
      <c r="AB25" s="356">
        <f>Data!Z28/AB$4*100000*AB$3</f>
        <v>183858.81259533888</v>
      </c>
      <c r="AC25" s="356">
        <f>Data!AA28/AC$4*100000*AC$3</f>
        <v>1648445.184232428</v>
      </c>
      <c r="AD25" s="356">
        <f>Data!AB28/AD$4*100000*AD$3</f>
        <v>3100839.5512707424</v>
      </c>
      <c r="AE25" s="356">
        <f>Data!AC28/AE$4*100000*AE$3</f>
        <v>3891237.509607994</v>
      </c>
      <c r="AF25" s="356">
        <f>Data!AD28/AF$4*100000*AF$3</f>
        <v>3997134.9207735718</v>
      </c>
      <c r="AG25" s="356">
        <f>Data!AE28/AG$4*100000*AG$3</f>
        <v>3493385.1811150094</v>
      </c>
      <c r="AH25" s="356">
        <f>Data!AF28/AH$4*100000*AH$3</f>
        <v>1219481.3409234663</v>
      </c>
      <c r="AI25" s="356">
        <f>Data!AG28/AI$4*100000*AI$3</f>
        <v>659005.06308767979</v>
      </c>
      <c r="AJ25" s="356">
        <f>Data!AH28/AJ$4*100000*AJ$3</f>
        <v>615949.15143175412</v>
      </c>
      <c r="AK25" s="358" t="s">
        <v>353</v>
      </c>
      <c r="AL25" s="356">
        <f t="shared" si="3"/>
        <v>13120719.014405943</v>
      </c>
      <c r="AM25" s="356">
        <f>Data!Q28/AM$4*100000*AM$3</f>
        <v>0</v>
      </c>
      <c r="AN25" s="356">
        <f>Data!R28/AN$4*100000*AN$3</f>
        <v>0</v>
      </c>
      <c r="AO25" s="356">
        <f>Data!S28/AO$4*100000*AO$3</f>
        <v>0</v>
      </c>
      <c r="AP25" s="356">
        <f>Data!T28/AP$4*100000*AP$3</f>
        <v>0</v>
      </c>
      <c r="AQ25" s="356">
        <f>Data!U28/AQ$4*100000*AQ$3</f>
        <v>0</v>
      </c>
      <c r="AR25" s="356">
        <f>Data!V28/AR$4*100000*AR$3</f>
        <v>0</v>
      </c>
      <c r="AS25" s="356">
        <f>Data!W28/AS$4*100000*AS$3</f>
        <v>0</v>
      </c>
      <c r="AT25" s="356">
        <f>Data!X28/AT$4*100000*AT$3</f>
        <v>0</v>
      </c>
      <c r="AU25" s="356">
        <f>Data!Y28/AU$4*100000*AU$3</f>
        <v>31456.103008251983</v>
      </c>
      <c r="AV25" s="356">
        <f>Data!Z28/AV$4*100000*AV$3</f>
        <v>157593.26793886189</v>
      </c>
      <c r="AW25" s="356">
        <f>Data!AA28/AW$4*100000*AW$3</f>
        <v>1177460.8458803056</v>
      </c>
      <c r="AX25" s="356">
        <f>Data!AB28/AX$4*100000*AX$3</f>
        <v>2067226.3675138284</v>
      </c>
      <c r="AY25" s="356">
        <f>Data!AC28/AY$4*100000*AY$3</f>
        <v>3112990.0076863952</v>
      </c>
      <c r="AZ25" s="356">
        <f>Data!AD28/AZ$4*100000*AZ$3</f>
        <v>2997851.1905801785</v>
      </c>
      <c r="BA25" s="356">
        <f>Data!AE28/BA$4*100000*BA$3</f>
        <v>2328923.4540766729</v>
      </c>
      <c r="BB25" s="356">
        <f>Data!AF28/BB$4*100000*BB$3</f>
        <v>609740.67046173313</v>
      </c>
      <c r="BC25" s="356">
        <f>Data!AG28/BC$4*100000*BC$3</f>
        <v>329502.5315438399</v>
      </c>
      <c r="BD25" s="356">
        <f>Data!AH28/BD$4*100000*BD$3</f>
        <v>307974.57571587706</v>
      </c>
      <c r="BE25" s="352"/>
      <c r="BF25" s="352"/>
      <c r="BG25" s="352"/>
      <c r="BH25" s="352"/>
      <c r="BI25" s="352"/>
      <c r="BJ25" s="352"/>
      <c r="BK25" s="352"/>
      <c r="BL25" s="352"/>
      <c r="BM25" s="352"/>
      <c r="BN25" s="352"/>
      <c r="BO25" s="352"/>
      <c r="BP25" s="352"/>
      <c r="BQ25" s="352"/>
      <c r="BR25" s="352"/>
      <c r="BS25" s="352"/>
      <c r="BT25" s="352"/>
      <c r="BU25" s="352"/>
      <c r="BV25" s="352"/>
      <c r="BW25" s="352"/>
    </row>
    <row r="26" spans="1:75" ht="12" customHeight="1">
      <c r="A26" s="30"/>
      <c r="B26" s="129" t="str">
        <f>UPPER(LEFT(TRIM(Data!B29),1)) &amp; MID(TRIM(Data!B29),2,50)</f>
        <v>Sėklidžių</v>
      </c>
      <c r="C26" s="129" t="str">
        <f>UPPER(LEFT(TRIM(Data!C29),1)) &amp; MID(TRIM(Data!C29),2,50)</f>
        <v>C62</v>
      </c>
      <c r="D26" s="130">
        <f>Data!D29</f>
        <v>29</v>
      </c>
      <c r="E26" s="131">
        <f t="shared" si="0"/>
        <v>2.1675242090031479</v>
      </c>
      <c r="F26" s="132">
        <f t="shared" si="4"/>
        <v>2.1059978378028013</v>
      </c>
      <c r="G26" s="133">
        <f t="shared" si="1"/>
        <v>2.0193503177030605</v>
      </c>
      <c r="H26" s="77"/>
      <c r="I26" s="77"/>
      <c r="J26" s="77"/>
      <c r="K26" s="77"/>
      <c r="L26" s="77"/>
      <c r="M26" s="77"/>
      <c r="N26" s="77"/>
      <c r="O26" s="58"/>
      <c r="P26" s="389"/>
      <c r="Q26" s="358" t="s">
        <v>353</v>
      </c>
      <c r="R26" s="356">
        <f t="shared" si="2"/>
        <v>210599.78378028012</v>
      </c>
      <c r="S26" s="356">
        <f>Data!Q29/S$4*100000*S$3</f>
        <v>0</v>
      </c>
      <c r="T26" s="356">
        <f>Data!R29/T$4*100000*T$3</f>
        <v>0</v>
      </c>
      <c r="U26" s="356">
        <f>Data!S29/U$4*100000*U$3</f>
        <v>0</v>
      </c>
      <c r="V26" s="356">
        <f>Data!T29/V$4*100000*V$3</f>
        <v>16384.233685984458</v>
      </c>
      <c r="W26" s="356">
        <f>Data!U29/W$4*100000*W$3</f>
        <v>33831.134309603207</v>
      </c>
      <c r="X26" s="356">
        <f>Data!V29/X$4*100000*X$3</f>
        <v>27868.738242876054</v>
      </c>
      <c r="Y26" s="356">
        <f>Data!W29/Y$4*100000*Y$3</f>
        <v>23248.347706716562</v>
      </c>
      <c r="Z26" s="356">
        <f>Data!X29/Z$4*100000*Z$3</f>
        <v>24093.897359997245</v>
      </c>
      <c r="AA26" s="356">
        <f>Data!Y29/AA$4*100000*AA$3</f>
        <v>51378.3015801449</v>
      </c>
      <c r="AB26" s="356">
        <f>Data!Z29/AB$4*100000*AB$3</f>
        <v>7071.4927921284179</v>
      </c>
      <c r="AC26" s="356">
        <f>Data!AA29/AC$4*100000*AC$3</f>
        <v>19860.785352197923</v>
      </c>
      <c r="AD26" s="356">
        <f>Data!AB29/AD$4*100000*AD$3</f>
        <v>0</v>
      </c>
      <c r="AE26" s="356">
        <f>Data!AC29/AE$4*100000*AE$3</f>
        <v>6862.8527506313831</v>
      </c>
      <c r="AF26" s="356">
        <f>Data!AD29/AF$4*100000*AF$3</f>
        <v>0</v>
      </c>
      <c r="AG26" s="356">
        <f>Data!AE29/AG$4*100000*AG$3</f>
        <v>0</v>
      </c>
      <c r="AH26" s="356">
        <f>Data!AF29/AH$4*100000*AH$3</f>
        <v>0</v>
      </c>
      <c r="AI26" s="356">
        <f>Data!AG29/AI$4*100000*AI$3</f>
        <v>0</v>
      </c>
      <c r="AJ26" s="356">
        <f>Data!AH29/AJ$4*100000*AJ$3</f>
        <v>0</v>
      </c>
      <c r="AK26" s="358" t="s">
        <v>353</v>
      </c>
      <c r="AL26" s="356">
        <f t="shared" si="3"/>
        <v>201935.03177030606</v>
      </c>
      <c r="AM26" s="356">
        <f>Data!Q29/AM$4*100000*AM$3</f>
        <v>0</v>
      </c>
      <c r="AN26" s="356">
        <f>Data!R29/AN$4*100000*AN$3</f>
        <v>0</v>
      </c>
      <c r="AO26" s="356">
        <f>Data!S29/AO$4*100000*AO$3</f>
        <v>0</v>
      </c>
      <c r="AP26" s="356">
        <f>Data!T29/AP$4*100000*AP$3</f>
        <v>21065.443310551447</v>
      </c>
      <c r="AQ26" s="356">
        <f>Data!U29/AQ$4*100000*AQ$3</f>
        <v>38664.153496689381</v>
      </c>
      <c r="AR26" s="356">
        <f>Data!V29/AR$4*100000*AR$3</f>
        <v>31849.986563286919</v>
      </c>
      <c r="AS26" s="356">
        <f>Data!W29/AS$4*100000*AS$3</f>
        <v>19927.155177185625</v>
      </c>
      <c r="AT26" s="356">
        <f>Data!X29/AT$4*100000*AT$3</f>
        <v>20651.91202285478</v>
      </c>
      <c r="AU26" s="356">
        <f>Data!Y29/AU$4*100000*AU$3</f>
        <v>44038.544211552777</v>
      </c>
      <c r="AV26" s="356">
        <f>Data!Z29/AV$4*100000*AV$3</f>
        <v>6061.2795361100725</v>
      </c>
      <c r="AW26" s="356">
        <f>Data!AA29/AW$4*100000*AW$3</f>
        <v>14186.275251569947</v>
      </c>
      <c r="AX26" s="356">
        <f>Data!AB29/AX$4*100000*AX$3</f>
        <v>0</v>
      </c>
      <c r="AY26" s="356">
        <f>Data!AC29/AY$4*100000*AY$3</f>
        <v>5490.2822005051066</v>
      </c>
      <c r="AZ26" s="356">
        <f>Data!AD29/AZ$4*100000*AZ$3</f>
        <v>0</v>
      </c>
      <c r="BA26" s="356">
        <f>Data!AE29/BA$4*100000*BA$3</f>
        <v>0</v>
      </c>
      <c r="BB26" s="356">
        <f>Data!AF29/BB$4*100000*BB$3</f>
        <v>0</v>
      </c>
      <c r="BC26" s="356">
        <f>Data!AG29/BC$4*100000*BC$3</f>
        <v>0</v>
      </c>
      <c r="BD26" s="356">
        <f>Data!AH29/BD$4*100000*BD$3</f>
        <v>0</v>
      </c>
      <c r="BE26" s="352"/>
      <c r="BF26" s="352"/>
      <c r="BG26" s="352"/>
      <c r="BH26" s="352"/>
      <c r="BI26" s="352"/>
      <c r="BJ26" s="352"/>
      <c r="BK26" s="352"/>
      <c r="BL26" s="352"/>
      <c r="BM26" s="352"/>
      <c r="BN26" s="352"/>
      <c r="BO26" s="352"/>
      <c r="BP26" s="352"/>
      <c r="BQ26" s="352"/>
      <c r="BR26" s="352"/>
      <c r="BS26" s="352"/>
      <c r="BT26" s="352"/>
      <c r="BU26" s="352"/>
      <c r="BV26" s="352"/>
      <c r="BW26" s="352"/>
    </row>
    <row r="27" spans="1:75" ht="12" customHeight="1">
      <c r="A27" s="30"/>
      <c r="B27" s="134" t="str">
        <f>UPPER(LEFT(TRIM(Data!B30),1)) &amp; MID(TRIM(Data!B30),2,50)</f>
        <v>Kitų lyties organų</v>
      </c>
      <c r="C27" s="134" t="s">
        <v>417</v>
      </c>
      <c r="D27" s="135">
        <f>Data!D30</f>
        <v>23</v>
      </c>
      <c r="E27" s="136">
        <f t="shared" si="0"/>
        <v>1.719070924381807</v>
      </c>
      <c r="F27" s="137">
        <f t="shared" si="4"/>
        <v>1.4385593794863814</v>
      </c>
      <c r="G27" s="137">
        <f t="shared" si="1"/>
        <v>0.98222168378416563</v>
      </c>
      <c r="H27" s="77"/>
      <c r="I27" s="77"/>
      <c r="J27" s="77"/>
      <c r="K27" s="77"/>
      <c r="L27" s="77"/>
      <c r="M27" s="77"/>
      <c r="N27" s="77"/>
      <c r="O27" s="58"/>
      <c r="P27" s="389"/>
      <c r="Q27" s="358" t="s">
        <v>353</v>
      </c>
      <c r="R27" s="356">
        <f t="shared" si="2"/>
        <v>143855.93794863814</v>
      </c>
      <c r="S27" s="356">
        <f>Data!Q30/S$4*100000*S$3</f>
        <v>0</v>
      </c>
      <c r="T27" s="356">
        <f>Data!R30/T$4*100000*T$3</f>
        <v>0</v>
      </c>
      <c r="U27" s="356">
        <f>Data!S30/U$4*100000*U$3</f>
        <v>0</v>
      </c>
      <c r="V27" s="356">
        <f>Data!T30/V$4*100000*V$3</f>
        <v>0</v>
      </c>
      <c r="W27" s="356">
        <f>Data!U30/W$4*100000*W$3</f>
        <v>0</v>
      </c>
      <c r="X27" s="356">
        <f>Data!V30/X$4*100000*X$3</f>
        <v>0</v>
      </c>
      <c r="Y27" s="356">
        <f>Data!W30/Y$4*100000*Y$3</f>
        <v>0</v>
      </c>
      <c r="Z27" s="356">
        <f>Data!X30/Z$4*100000*Z$3</f>
        <v>0</v>
      </c>
      <c r="AA27" s="356">
        <f>Data!Y30/AA$4*100000*AA$3</f>
        <v>0</v>
      </c>
      <c r="AB27" s="356">
        <f>Data!Z30/AB$4*100000*AB$3</f>
        <v>14142.985584256836</v>
      </c>
      <c r="AC27" s="356">
        <f>Data!AA30/AC$4*100000*AC$3</f>
        <v>26481.047136263904</v>
      </c>
      <c r="AD27" s="356">
        <f>Data!AB30/AD$4*100000*AD$3</f>
        <v>24906.34177727504</v>
      </c>
      <c r="AE27" s="356">
        <f>Data!AC30/AE$4*100000*AE$3</f>
        <v>20588.558251894148</v>
      </c>
      <c r="AF27" s="356">
        <f>Data!AD30/AF$4*100000*AF$3</f>
        <v>20963.994339721532</v>
      </c>
      <c r="AG27" s="356">
        <f>Data!AE30/AG$4*100000*AG$3</f>
        <v>0</v>
      </c>
      <c r="AH27" s="356">
        <f>Data!AF30/AH$4*100000*AH$3</f>
        <v>5060.0885515496529</v>
      </c>
      <c r="AI27" s="356">
        <f>Data!AG30/AI$4*100000*AI$3</f>
        <v>12054.970666238045</v>
      </c>
      <c r="AJ27" s="356">
        <f>Data!AH30/AJ$4*100000*AJ$3</f>
        <v>19657.951641438962</v>
      </c>
      <c r="AK27" s="358" t="s">
        <v>353</v>
      </c>
      <c r="AL27" s="356">
        <f t="shared" si="3"/>
        <v>98222.168378416565</v>
      </c>
      <c r="AM27" s="356">
        <f>Data!Q30/AM$4*100000*AM$3</f>
        <v>0</v>
      </c>
      <c r="AN27" s="356">
        <f>Data!R30/AN$4*100000*AN$3</f>
        <v>0</v>
      </c>
      <c r="AO27" s="356">
        <f>Data!S30/AO$4*100000*AO$3</f>
        <v>0</v>
      </c>
      <c r="AP27" s="356">
        <f>Data!T30/AP$4*100000*AP$3</f>
        <v>0</v>
      </c>
      <c r="AQ27" s="356">
        <f>Data!U30/AQ$4*100000*AQ$3</f>
        <v>0</v>
      </c>
      <c r="AR27" s="356">
        <f>Data!V30/AR$4*100000*AR$3</f>
        <v>0</v>
      </c>
      <c r="AS27" s="356">
        <f>Data!W30/AS$4*100000*AS$3</f>
        <v>0</v>
      </c>
      <c r="AT27" s="356">
        <f>Data!X30/AT$4*100000*AT$3</f>
        <v>0</v>
      </c>
      <c r="AU27" s="356">
        <f>Data!Y30/AU$4*100000*AU$3</f>
        <v>0</v>
      </c>
      <c r="AV27" s="356">
        <f>Data!Z30/AV$4*100000*AV$3</f>
        <v>12122.559072220145</v>
      </c>
      <c r="AW27" s="356">
        <f>Data!AA30/AW$4*100000*AW$3</f>
        <v>18915.03366875993</v>
      </c>
      <c r="AX27" s="356">
        <f>Data!AB30/AX$4*100000*AX$3</f>
        <v>16604.227851516694</v>
      </c>
      <c r="AY27" s="356">
        <f>Data!AC30/AY$4*100000*AY$3</f>
        <v>16470.846601515321</v>
      </c>
      <c r="AZ27" s="356">
        <f>Data!AD30/AZ$4*100000*AZ$3</f>
        <v>15722.995754791147</v>
      </c>
      <c r="BA27" s="356">
        <f>Data!AE30/BA$4*100000*BA$3</f>
        <v>0</v>
      </c>
      <c r="BB27" s="356">
        <f>Data!AF30/BB$4*100000*BB$3</f>
        <v>2530.0442757748265</v>
      </c>
      <c r="BC27" s="356">
        <f>Data!AG30/BC$4*100000*BC$3</f>
        <v>6027.4853331190225</v>
      </c>
      <c r="BD27" s="356">
        <f>Data!AH30/BD$4*100000*BD$3</f>
        <v>9828.9758207194809</v>
      </c>
      <c r="BE27" s="352"/>
      <c r="BF27" s="352"/>
      <c r="BG27" s="352"/>
      <c r="BH27" s="352"/>
      <c r="BI27" s="352"/>
      <c r="BJ27" s="352"/>
      <c r="BK27" s="352"/>
      <c r="BL27" s="352"/>
      <c r="BM27" s="352"/>
      <c r="BN27" s="352"/>
      <c r="BO27" s="352"/>
      <c r="BP27" s="352"/>
      <c r="BQ27" s="352"/>
      <c r="BR27" s="352"/>
      <c r="BS27" s="352"/>
      <c r="BT27" s="352"/>
      <c r="BU27" s="352"/>
      <c r="BV27" s="352"/>
      <c r="BW27" s="352"/>
    </row>
    <row r="28" spans="1:75" ht="12" customHeight="1">
      <c r="A28" s="30"/>
      <c r="B28" s="129" t="str">
        <f>UPPER(LEFT(TRIM(Data!B31),1)) &amp; MID(TRIM(Data!B31),2,50)</f>
        <v>Inkstų</v>
      </c>
      <c r="C28" s="129" t="str">
        <f>UPPER(LEFT(TRIM(Data!C31),1)) &amp; MID(TRIM(Data!C31),2,50)</f>
        <v>C64</v>
      </c>
      <c r="D28" s="130">
        <f>Data!D31</f>
        <v>436</v>
      </c>
      <c r="E28" s="131">
        <f t="shared" si="0"/>
        <v>32.587605349150778</v>
      </c>
      <c r="F28" s="132">
        <f t="shared" si="4"/>
        <v>27.713755879460791</v>
      </c>
      <c r="G28" s="133">
        <f t="shared" si="1"/>
        <v>19.549950744926988</v>
      </c>
      <c r="H28" s="77"/>
      <c r="I28" s="77"/>
      <c r="J28" s="77"/>
      <c r="K28" s="77"/>
      <c r="L28" s="77"/>
      <c r="M28" s="77"/>
      <c r="N28" s="77"/>
      <c r="O28" s="58"/>
      <c r="P28" s="389"/>
      <c r="Q28" s="358" t="s">
        <v>353</v>
      </c>
      <c r="R28" s="356">
        <f t="shared" si="2"/>
        <v>2771375.5879460792</v>
      </c>
      <c r="S28" s="356">
        <f>Data!Q31/S$4*100000*S$3</f>
        <v>31003.345777731847</v>
      </c>
      <c r="T28" s="356">
        <f>Data!R31/T$4*100000*T$3</f>
        <v>9821.94221891706</v>
      </c>
      <c r="U28" s="356">
        <f>Data!S31/U$4*100000*U$3</f>
        <v>0</v>
      </c>
      <c r="V28" s="356">
        <f>Data!T31/V$4*100000*V$3</f>
        <v>8192.1168429922291</v>
      </c>
      <c r="W28" s="356">
        <f>Data!U31/W$4*100000*W$3</f>
        <v>0</v>
      </c>
      <c r="X28" s="356">
        <f>Data!V31/X$4*100000*X$3</f>
        <v>0</v>
      </c>
      <c r="Y28" s="356">
        <f>Data!W31/Y$4*100000*Y$3</f>
        <v>15498.898471144374</v>
      </c>
      <c r="Z28" s="356">
        <f>Data!X31/Z$4*100000*Z$3</f>
        <v>32125.196479996328</v>
      </c>
      <c r="AA28" s="356">
        <f>Data!Y31/AA$4*100000*AA$3</f>
        <v>36698.786842960646</v>
      </c>
      <c r="AB28" s="356">
        <f>Data!Z31/AB$4*100000*AB$3</f>
        <v>120215.37746618311</v>
      </c>
      <c r="AC28" s="356">
        <f>Data!AA31/AC$4*100000*AC$3</f>
        <v>304532.04206703487</v>
      </c>
      <c r="AD28" s="356">
        <f>Data!AB31/AD$4*100000*AD$3</f>
        <v>398501.46843640064</v>
      </c>
      <c r="AE28" s="356">
        <f>Data!AC31/AE$4*100000*AE$3</f>
        <v>398045.45953662012</v>
      </c>
      <c r="AF28" s="356">
        <f>Data!AD31/AF$4*100000*AF$3</f>
        <v>545063.85283275973</v>
      </c>
      <c r="AG28" s="356">
        <f>Data!AE31/AG$4*100000*AG$3</f>
        <v>374064.83790523693</v>
      </c>
      <c r="AH28" s="356">
        <f>Data!AF31/AH$4*100000*AH$3</f>
        <v>258064.51612903224</v>
      </c>
      <c r="AI28" s="356">
        <f>Data!AG31/AI$4*100000*AI$3</f>
        <v>108494.73599614241</v>
      </c>
      <c r="AJ28" s="356">
        <f>Data!AH31/AJ$4*100000*AJ$3</f>
        <v>131053.01094292643</v>
      </c>
      <c r="AK28" s="358" t="s">
        <v>353</v>
      </c>
      <c r="AL28" s="356">
        <f t="shared" si="3"/>
        <v>1954995.074492699</v>
      </c>
      <c r="AM28" s="356">
        <f>Data!Q31/AM$4*100000*AM$3</f>
        <v>46505.018666597774</v>
      </c>
      <c r="AN28" s="356">
        <f>Data!R31/AN$4*100000*AN$3</f>
        <v>14031.346027024372</v>
      </c>
      <c r="AO28" s="356">
        <f>Data!S31/AO$4*100000*AO$3</f>
        <v>0</v>
      </c>
      <c r="AP28" s="356">
        <f>Data!T31/AP$4*100000*AP$3</f>
        <v>10532.721655275724</v>
      </c>
      <c r="AQ28" s="356">
        <f>Data!U31/AQ$4*100000*AQ$3</f>
        <v>0</v>
      </c>
      <c r="AR28" s="356">
        <f>Data!V31/AR$4*100000*AR$3</f>
        <v>0</v>
      </c>
      <c r="AS28" s="356">
        <f>Data!W31/AS$4*100000*AS$3</f>
        <v>13284.77011812375</v>
      </c>
      <c r="AT28" s="356">
        <f>Data!X31/AT$4*100000*AT$3</f>
        <v>27535.88269713971</v>
      </c>
      <c r="AU28" s="356">
        <f>Data!Y31/AU$4*100000*AU$3</f>
        <v>31456.103008251983</v>
      </c>
      <c r="AV28" s="356">
        <f>Data!Z31/AV$4*100000*AV$3</f>
        <v>103041.75211387125</v>
      </c>
      <c r="AW28" s="356">
        <f>Data!AA31/AW$4*100000*AW$3</f>
        <v>217522.88719073922</v>
      </c>
      <c r="AX28" s="356">
        <f>Data!AB31/AX$4*100000*AX$3</f>
        <v>265667.64562426711</v>
      </c>
      <c r="AY28" s="356">
        <f>Data!AC31/AY$4*100000*AY$3</f>
        <v>318436.36762929609</v>
      </c>
      <c r="AZ28" s="356">
        <f>Data!AD31/AZ$4*100000*AZ$3</f>
        <v>408797.8896245698</v>
      </c>
      <c r="BA28" s="356">
        <f>Data!AE31/BA$4*100000*BA$3</f>
        <v>249376.55860349128</v>
      </c>
      <c r="BB28" s="356">
        <f>Data!AF31/BB$4*100000*BB$3</f>
        <v>129032.25806451612</v>
      </c>
      <c r="BC28" s="356">
        <f>Data!AG31/BC$4*100000*BC$3</f>
        <v>54247.367998071204</v>
      </c>
      <c r="BD28" s="356">
        <f>Data!AH31/BD$4*100000*BD$3</f>
        <v>65526.505471463213</v>
      </c>
      <c r="BE28" s="352"/>
      <c r="BF28" s="352"/>
      <c r="BG28" s="352"/>
      <c r="BH28" s="352"/>
      <c r="BI28" s="352"/>
      <c r="BJ28" s="352"/>
      <c r="BK28" s="352"/>
      <c r="BL28" s="352"/>
      <c r="BM28" s="352"/>
      <c r="BN28" s="352"/>
      <c r="BO28" s="352"/>
      <c r="BP28" s="352"/>
      <c r="BQ28" s="352"/>
      <c r="BR28" s="352"/>
      <c r="BS28" s="352"/>
      <c r="BT28" s="352"/>
      <c r="BU28" s="352"/>
      <c r="BV28" s="352"/>
      <c r="BW28" s="352"/>
    </row>
    <row r="29" spans="1:75" ht="12" customHeight="1">
      <c r="A29" s="30"/>
      <c r="B29" s="134" t="str">
        <f>UPPER(LEFT(TRIM(Data!B32),1)) &amp; MID(TRIM(Data!B32),2,50)</f>
        <v>Šlapimo pūslės</v>
      </c>
      <c r="C29" s="134" t="str">
        <f>UPPER(LEFT(TRIM(Data!C32),1)) &amp; MID(TRIM(Data!C32),2,50)</f>
        <v>C67</v>
      </c>
      <c r="D29" s="135">
        <f>Data!D32</f>
        <v>300</v>
      </c>
      <c r="E29" s="136">
        <f t="shared" si="0"/>
        <v>22.422664231067049</v>
      </c>
      <c r="F29" s="137">
        <f t="shared" si="4"/>
        <v>18.006132183566898</v>
      </c>
      <c r="G29" s="137">
        <f t="shared" si="1"/>
        <v>11.548725172144071</v>
      </c>
      <c r="H29" s="77"/>
      <c r="I29" s="77"/>
      <c r="J29" s="77"/>
      <c r="K29" s="77"/>
      <c r="L29" s="77"/>
      <c r="M29" s="77"/>
      <c r="N29" s="77"/>
      <c r="O29" s="58"/>
      <c r="P29" s="389"/>
      <c r="Q29" s="358" t="s">
        <v>353</v>
      </c>
      <c r="R29" s="356">
        <f t="shared" si="2"/>
        <v>1800613.2183566899</v>
      </c>
      <c r="S29" s="356">
        <f>Data!Q32/S$4*100000*S$3</f>
        <v>0</v>
      </c>
      <c r="T29" s="356">
        <f>Data!R32/T$4*100000*T$3</f>
        <v>0</v>
      </c>
      <c r="U29" s="356">
        <f>Data!S32/U$4*100000*U$3</f>
        <v>0</v>
      </c>
      <c r="V29" s="356">
        <f>Data!T32/V$4*100000*V$3</f>
        <v>0</v>
      </c>
      <c r="W29" s="356">
        <f>Data!U32/W$4*100000*W$3</f>
        <v>0</v>
      </c>
      <c r="X29" s="356">
        <f>Data!V32/X$4*100000*X$3</f>
        <v>0</v>
      </c>
      <c r="Y29" s="356">
        <f>Data!W32/Y$4*100000*Y$3</f>
        <v>0</v>
      </c>
      <c r="Z29" s="356">
        <f>Data!X32/Z$4*100000*Z$3</f>
        <v>8031.299119999082</v>
      </c>
      <c r="AA29" s="356">
        <f>Data!Y32/AA$4*100000*AA$3</f>
        <v>0</v>
      </c>
      <c r="AB29" s="356">
        <f>Data!Z32/AB$4*100000*AB$3</f>
        <v>49500.449544898926</v>
      </c>
      <c r="AC29" s="356">
        <f>Data!AA32/AC$4*100000*AC$3</f>
        <v>72822.879624725727</v>
      </c>
      <c r="AD29" s="356">
        <f>Data!AB32/AD$4*100000*AD$3</f>
        <v>155664.63610796901</v>
      </c>
      <c r="AE29" s="356">
        <f>Data!AC32/AE$4*100000*AE$3</f>
        <v>212748.43526957283</v>
      </c>
      <c r="AF29" s="356">
        <f>Data!AD32/AF$4*100000*AF$3</f>
        <v>307471.91698258242</v>
      </c>
      <c r="AG29" s="356">
        <f>Data!AE32/AG$4*100000*AG$3</f>
        <v>310664.01792129851</v>
      </c>
      <c r="AH29" s="356">
        <f>Data!AF32/AH$4*100000*AH$3</f>
        <v>313725.49019607838</v>
      </c>
      <c r="AI29" s="356">
        <f>Data!AG32/AI$4*100000*AI$3</f>
        <v>140641.32443944388</v>
      </c>
      <c r="AJ29" s="356">
        <f>Data!AH32/AJ$4*100000*AJ$3</f>
        <v>229342.76915012122</v>
      </c>
      <c r="AK29" s="358" t="s">
        <v>353</v>
      </c>
      <c r="AL29" s="356">
        <f t="shared" si="3"/>
        <v>1154872.517214407</v>
      </c>
      <c r="AM29" s="356">
        <f>Data!Q32/AM$4*100000*AM$3</f>
        <v>0</v>
      </c>
      <c r="AN29" s="356">
        <f>Data!R32/AN$4*100000*AN$3</f>
        <v>0</v>
      </c>
      <c r="AO29" s="356">
        <f>Data!S32/AO$4*100000*AO$3</f>
        <v>0</v>
      </c>
      <c r="AP29" s="356">
        <f>Data!T32/AP$4*100000*AP$3</f>
        <v>0</v>
      </c>
      <c r="AQ29" s="356">
        <f>Data!U32/AQ$4*100000*AQ$3</f>
        <v>0</v>
      </c>
      <c r="AR29" s="356">
        <f>Data!V32/AR$4*100000*AR$3</f>
        <v>0</v>
      </c>
      <c r="AS29" s="356">
        <f>Data!W32/AS$4*100000*AS$3</f>
        <v>0</v>
      </c>
      <c r="AT29" s="356">
        <f>Data!X32/AT$4*100000*AT$3</f>
        <v>6883.9706742849276</v>
      </c>
      <c r="AU29" s="356">
        <f>Data!Y32/AU$4*100000*AU$3</f>
        <v>0</v>
      </c>
      <c r="AV29" s="356">
        <f>Data!Z32/AV$4*100000*AV$3</f>
        <v>42428.956752770508</v>
      </c>
      <c r="AW29" s="356">
        <f>Data!AA32/AW$4*100000*AW$3</f>
        <v>52016.342589089807</v>
      </c>
      <c r="AX29" s="356">
        <f>Data!AB32/AX$4*100000*AX$3</f>
        <v>103776.42407197933</v>
      </c>
      <c r="AY29" s="356">
        <f>Data!AC32/AY$4*100000*AY$3</f>
        <v>170198.74821565827</v>
      </c>
      <c r="AZ29" s="356">
        <f>Data!AD32/AZ$4*100000*AZ$3</f>
        <v>230603.93773693679</v>
      </c>
      <c r="BA29" s="356">
        <f>Data!AE32/BA$4*100000*BA$3</f>
        <v>207109.34528086564</v>
      </c>
      <c r="BB29" s="356">
        <f>Data!AF32/BB$4*100000*BB$3</f>
        <v>156862.74509803919</v>
      </c>
      <c r="BC29" s="356">
        <f>Data!AG32/BC$4*100000*BC$3</f>
        <v>70320.66221972194</v>
      </c>
      <c r="BD29" s="356">
        <f>Data!AH32/BD$4*100000*BD$3</f>
        <v>114671.38457506061</v>
      </c>
      <c r="BE29" s="352"/>
      <c r="BF29" s="352"/>
      <c r="BG29" s="352"/>
      <c r="BH29" s="352"/>
      <c r="BI29" s="352"/>
      <c r="BJ29" s="352"/>
      <c r="BK29" s="352"/>
      <c r="BL29" s="352"/>
      <c r="BM29" s="352"/>
      <c r="BN29" s="352"/>
      <c r="BO29" s="352"/>
      <c r="BP29" s="352"/>
      <c r="BQ29" s="352"/>
      <c r="BR29" s="352"/>
      <c r="BS29" s="352"/>
      <c r="BT29" s="352"/>
      <c r="BU29" s="352"/>
      <c r="BV29" s="352"/>
      <c r="BW29" s="352"/>
    </row>
    <row r="30" spans="1:75" ht="12" customHeight="1">
      <c r="A30" s="30"/>
      <c r="B30" s="129" t="str">
        <f>UPPER(LEFT(TRIM(Data!B33),1)) &amp; MID(TRIM(Data!B33),2,50)</f>
        <v>Kitų šlapimą išskiriančių organų</v>
      </c>
      <c r="C30" s="129" t="str">
        <f>UPPER(LEFT(TRIM(Data!C33),1)) &amp; MID(TRIM(Data!C33),2,50)</f>
        <v>C65, C66, C68</v>
      </c>
      <c r="D30" s="130">
        <f>Data!D33</f>
        <v>18</v>
      </c>
      <c r="E30" s="131">
        <f t="shared" si="0"/>
        <v>1.345359853864023</v>
      </c>
      <c r="F30" s="132">
        <f t="shared" si="4"/>
        <v>1.0457080983862717</v>
      </c>
      <c r="G30" s="133">
        <f t="shared" si="1"/>
        <v>0.65268597321520971</v>
      </c>
      <c r="H30" s="77"/>
      <c r="I30" s="77"/>
      <c r="J30" s="77"/>
      <c r="K30" s="77"/>
      <c r="L30" s="77"/>
      <c r="M30" s="77"/>
      <c r="N30" s="77"/>
      <c r="O30" s="58"/>
      <c r="P30" s="389"/>
      <c r="Q30" s="358" t="s">
        <v>353</v>
      </c>
      <c r="R30" s="356">
        <f t="shared" si="2"/>
        <v>104570.80983862717</v>
      </c>
      <c r="S30" s="356">
        <f>Data!Q33/S$4*100000*S$3</f>
        <v>0</v>
      </c>
      <c r="T30" s="356">
        <f>Data!R33/T$4*100000*T$3</f>
        <v>0</v>
      </c>
      <c r="U30" s="356">
        <f>Data!S33/U$4*100000*U$3</f>
        <v>0</v>
      </c>
      <c r="V30" s="356">
        <f>Data!T33/V$4*100000*V$3</f>
        <v>0</v>
      </c>
      <c r="W30" s="356">
        <f>Data!U33/W$4*100000*W$3</f>
        <v>0</v>
      </c>
      <c r="X30" s="356">
        <f>Data!V33/X$4*100000*X$3</f>
        <v>0</v>
      </c>
      <c r="Y30" s="356">
        <f>Data!W33/Y$4*100000*Y$3</f>
        <v>0</v>
      </c>
      <c r="Z30" s="356">
        <f>Data!X33/Z$4*100000*Z$3</f>
        <v>0</v>
      </c>
      <c r="AA30" s="356">
        <f>Data!Y33/AA$4*100000*AA$3</f>
        <v>0</v>
      </c>
      <c r="AB30" s="356">
        <f>Data!Z33/AB$4*100000*AB$3</f>
        <v>0</v>
      </c>
      <c r="AC30" s="356">
        <f>Data!AA33/AC$4*100000*AC$3</f>
        <v>13240.523568131952</v>
      </c>
      <c r="AD30" s="356">
        <f>Data!AB33/AD$4*100000*AD$3</f>
        <v>0</v>
      </c>
      <c r="AE30" s="356">
        <f>Data!AC33/AE$4*100000*AE$3</f>
        <v>6862.8527506313831</v>
      </c>
      <c r="AF30" s="356">
        <f>Data!AD33/AF$4*100000*AF$3</f>
        <v>6987.9981132405092</v>
      </c>
      <c r="AG30" s="356">
        <f>Data!AE33/AG$4*100000*AG$3</f>
        <v>38040.49199036308</v>
      </c>
      <c r="AH30" s="356">
        <f>Data!AF33/AH$4*100000*AH$3</f>
        <v>35420.619860847568</v>
      </c>
      <c r="AI30" s="356">
        <f>Data!AG33/AI$4*100000*AI$3</f>
        <v>4018.3235554126818</v>
      </c>
      <c r="AJ30" s="356">
        <f>Data!AH33/AJ$4*100000*AJ$3</f>
        <v>0</v>
      </c>
      <c r="AK30" s="358" t="s">
        <v>353</v>
      </c>
      <c r="AL30" s="356">
        <f t="shared" si="3"/>
        <v>65268.597321520967</v>
      </c>
      <c r="AM30" s="356">
        <f>Data!Q33/AM$4*100000*AM$3</f>
        <v>0</v>
      </c>
      <c r="AN30" s="356">
        <f>Data!R33/AN$4*100000*AN$3</f>
        <v>0</v>
      </c>
      <c r="AO30" s="356">
        <f>Data!S33/AO$4*100000*AO$3</f>
        <v>0</v>
      </c>
      <c r="AP30" s="356">
        <f>Data!T33/AP$4*100000*AP$3</f>
        <v>0</v>
      </c>
      <c r="AQ30" s="356">
        <f>Data!U33/AQ$4*100000*AQ$3</f>
        <v>0</v>
      </c>
      <c r="AR30" s="356">
        <f>Data!V33/AR$4*100000*AR$3</f>
        <v>0</v>
      </c>
      <c r="AS30" s="356">
        <f>Data!W33/AS$4*100000*AS$3</f>
        <v>0</v>
      </c>
      <c r="AT30" s="356">
        <f>Data!X33/AT$4*100000*AT$3</f>
        <v>0</v>
      </c>
      <c r="AU30" s="356">
        <f>Data!Y33/AU$4*100000*AU$3</f>
        <v>0</v>
      </c>
      <c r="AV30" s="356">
        <f>Data!Z33/AV$4*100000*AV$3</f>
        <v>0</v>
      </c>
      <c r="AW30" s="356">
        <f>Data!AA33/AW$4*100000*AW$3</f>
        <v>9457.5168343799651</v>
      </c>
      <c r="AX30" s="356">
        <f>Data!AB33/AX$4*100000*AX$3</f>
        <v>0</v>
      </c>
      <c r="AY30" s="356">
        <f>Data!AC33/AY$4*100000*AY$3</f>
        <v>5490.2822005051066</v>
      </c>
      <c r="AZ30" s="356">
        <f>Data!AD33/AZ$4*100000*AZ$3</f>
        <v>5240.9985849303821</v>
      </c>
      <c r="BA30" s="356">
        <f>Data!AE33/BA$4*100000*BA$3</f>
        <v>25360.327993575385</v>
      </c>
      <c r="BB30" s="356">
        <f>Data!AF33/BB$4*100000*BB$3</f>
        <v>17710.309930423784</v>
      </c>
      <c r="BC30" s="356">
        <f>Data!AG33/BC$4*100000*BC$3</f>
        <v>2009.1617777063409</v>
      </c>
      <c r="BD30" s="356">
        <f>Data!AH33/BD$4*100000*BD$3</f>
        <v>0</v>
      </c>
      <c r="BE30" s="352"/>
      <c r="BF30" s="352"/>
      <c r="BG30" s="352"/>
      <c r="BH30" s="352"/>
      <c r="BI30" s="352"/>
      <c r="BJ30" s="352"/>
      <c r="BK30" s="352"/>
      <c r="BL30" s="352"/>
      <c r="BM30" s="352"/>
      <c r="BN30" s="352"/>
      <c r="BO30" s="352"/>
      <c r="BP30" s="352"/>
      <c r="BQ30" s="352"/>
      <c r="BR30" s="352"/>
      <c r="BS30" s="352"/>
      <c r="BT30" s="352"/>
      <c r="BU30" s="352"/>
      <c r="BV30" s="352"/>
      <c r="BW30" s="352"/>
    </row>
    <row r="31" spans="1:75" ht="12" customHeight="1">
      <c r="A31" s="30"/>
      <c r="B31" s="134" t="str">
        <f>UPPER(LEFT(TRIM(Data!B34),1)) &amp; MID(TRIM(Data!B34),2,50)</f>
        <v>Akių</v>
      </c>
      <c r="C31" s="134" t="str">
        <f>UPPER(LEFT(TRIM(Data!C34),1)) &amp; MID(TRIM(Data!C34),2,50)</f>
        <v>C69</v>
      </c>
      <c r="D31" s="135">
        <f>Data!D34</f>
        <v>13</v>
      </c>
      <c r="E31" s="136">
        <f t="shared" si="0"/>
        <v>0.97164878334623883</v>
      </c>
      <c r="F31" s="137">
        <f t="shared" si="4"/>
        <v>0.989993964120091</v>
      </c>
      <c r="G31" s="137">
        <f t="shared" si="1"/>
        <v>0.98490526572522041</v>
      </c>
      <c r="H31" s="77"/>
      <c r="I31" s="77"/>
      <c r="J31" s="77"/>
      <c r="K31" s="77"/>
      <c r="L31" s="77"/>
      <c r="M31" s="77"/>
      <c r="N31" s="77"/>
      <c r="O31" s="58"/>
      <c r="P31" s="389"/>
      <c r="Q31" s="358" t="s">
        <v>353</v>
      </c>
      <c r="R31" s="356">
        <f t="shared" si="2"/>
        <v>98999.396412009097</v>
      </c>
      <c r="S31" s="356">
        <f>Data!Q34/S$4*100000*S$3</f>
        <v>31003.345777731847</v>
      </c>
      <c r="T31" s="356">
        <f>Data!R34/T$4*100000*T$3</f>
        <v>0</v>
      </c>
      <c r="U31" s="356">
        <f>Data!S34/U$4*100000*U$3</f>
        <v>0</v>
      </c>
      <c r="V31" s="356">
        <f>Data!T34/V$4*100000*V$3</f>
        <v>0</v>
      </c>
      <c r="W31" s="356">
        <f>Data!U34/W$4*100000*W$3</f>
        <v>0</v>
      </c>
      <c r="X31" s="356">
        <f>Data!V34/X$4*100000*X$3</f>
        <v>0</v>
      </c>
      <c r="Y31" s="356">
        <f>Data!W34/Y$4*100000*Y$3</f>
        <v>0</v>
      </c>
      <c r="Z31" s="356">
        <f>Data!X34/Z$4*100000*Z$3</f>
        <v>0</v>
      </c>
      <c r="AA31" s="356">
        <f>Data!Y34/AA$4*100000*AA$3</f>
        <v>7339.7573685921307</v>
      </c>
      <c r="AB31" s="356">
        <f>Data!Z34/AB$4*100000*AB$3</f>
        <v>7071.4927921284179</v>
      </c>
      <c r="AC31" s="356">
        <f>Data!AA34/AC$4*100000*AC$3</f>
        <v>0</v>
      </c>
      <c r="AD31" s="356">
        <f>Data!AB34/AD$4*100000*AD$3</f>
        <v>0</v>
      </c>
      <c r="AE31" s="356">
        <f>Data!AC34/AE$4*100000*AE$3</f>
        <v>20588.558251894148</v>
      </c>
      <c r="AF31" s="356">
        <f>Data!AD34/AF$4*100000*AF$3</f>
        <v>13975.996226481018</v>
      </c>
      <c r="AG31" s="356">
        <f>Data!AE34/AG$4*100000*AG$3</f>
        <v>19020.24599518154</v>
      </c>
      <c r="AH31" s="356">
        <f>Data!AF34/AH$4*100000*AH$3</f>
        <v>0</v>
      </c>
      <c r="AI31" s="356">
        <f>Data!AG34/AI$4*100000*AI$3</f>
        <v>0</v>
      </c>
      <c r="AJ31" s="356">
        <f>Data!AH34/AJ$4*100000*AJ$3</f>
        <v>0</v>
      </c>
      <c r="AK31" s="358" t="s">
        <v>353</v>
      </c>
      <c r="AL31" s="356">
        <f t="shared" si="3"/>
        <v>98490.526572522038</v>
      </c>
      <c r="AM31" s="356">
        <f>Data!Q34/AM$4*100000*AM$3</f>
        <v>46505.018666597774</v>
      </c>
      <c r="AN31" s="356">
        <f>Data!R34/AN$4*100000*AN$3</f>
        <v>0</v>
      </c>
      <c r="AO31" s="356">
        <f>Data!S34/AO$4*100000*AO$3</f>
        <v>0</v>
      </c>
      <c r="AP31" s="356">
        <f>Data!T34/AP$4*100000*AP$3</f>
        <v>0</v>
      </c>
      <c r="AQ31" s="356">
        <f>Data!U34/AQ$4*100000*AQ$3</f>
        <v>0</v>
      </c>
      <c r="AR31" s="356">
        <f>Data!V34/AR$4*100000*AR$3</f>
        <v>0</v>
      </c>
      <c r="AS31" s="356">
        <f>Data!W34/AS$4*100000*AS$3</f>
        <v>0</v>
      </c>
      <c r="AT31" s="356">
        <f>Data!X34/AT$4*100000*AT$3</f>
        <v>0</v>
      </c>
      <c r="AU31" s="356">
        <f>Data!Y34/AU$4*100000*AU$3</f>
        <v>6291.2206016503978</v>
      </c>
      <c r="AV31" s="356">
        <f>Data!Z34/AV$4*100000*AV$3</f>
        <v>6061.2795361100725</v>
      </c>
      <c r="AW31" s="356">
        <f>Data!AA34/AW$4*100000*AW$3</f>
        <v>0</v>
      </c>
      <c r="AX31" s="356">
        <f>Data!AB34/AX$4*100000*AX$3</f>
        <v>0</v>
      </c>
      <c r="AY31" s="356">
        <f>Data!AC34/AY$4*100000*AY$3</f>
        <v>16470.846601515321</v>
      </c>
      <c r="AZ31" s="356">
        <f>Data!AD34/AZ$4*100000*AZ$3</f>
        <v>10481.997169860764</v>
      </c>
      <c r="BA31" s="356">
        <f>Data!AE34/BA$4*100000*BA$3</f>
        <v>12680.163996787693</v>
      </c>
      <c r="BB31" s="356">
        <f>Data!AF34/BB$4*100000*BB$3</f>
        <v>0</v>
      </c>
      <c r="BC31" s="356">
        <f>Data!AG34/BC$4*100000*BC$3</f>
        <v>0</v>
      </c>
      <c r="BD31" s="356">
        <f>Data!AH34/BD$4*100000*BD$3</f>
        <v>0</v>
      </c>
      <c r="BE31" s="352"/>
      <c r="BF31" s="352"/>
      <c r="BG31" s="352"/>
      <c r="BH31" s="352"/>
      <c r="BI31" s="352"/>
      <c r="BJ31" s="352"/>
      <c r="BK31" s="352"/>
      <c r="BL31" s="352"/>
      <c r="BM31" s="352"/>
      <c r="BN31" s="352"/>
      <c r="BO31" s="352"/>
      <c r="BP31" s="352"/>
      <c r="BQ31" s="352"/>
      <c r="BR31" s="352"/>
      <c r="BS31" s="352"/>
      <c r="BT31" s="352"/>
      <c r="BU31" s="352"/>
      <c r="BV31" s="352"/>
      <c r="BW31" s="352"/>
    </row>
    <row r="32" spans="1:75" ht="12" customHeight="1">
      <c r="A32" s="30"/>
      <c r="B32" s="129" t="str">
        <f>UPPER(LEFT(TRIM(Data!B35),1)) &amp; MID(TRIM(Data!B35),2,50)</f>
        <v>Smegenų</v>
      </c>
      <c r="C32" s="129" t="str">
        <f>UPPER(LEFT(TRIM(Data!C35),1)) &amp; MID(TRIM(Data!C35),2,50)</f>
        <v>C70-C72</v>
      </c>
      <c r="D32" s="130">
        <f>Data!D35</f>
        <v>129</v>
      </c>
      <c r="E32" s="131">
        <f t="shared" si="0"/>
        <v>9.6417456193588311</v>
      </c>
      <c r="F32" s="132">
        <f t="shared" si="4"/>
        <v>8.6709142898557996</v>
      </c>
      <c r="G32" s="133">
        <f t="shared" si="1"/>
        <v>7.0228356066131497</v>
      </c>
      <c r="H32" s="77"/>
      <c r="I32" s="77"/>
      <c r="J32" s="77"/>
      <c r="K32" s="77"/>
      <c r="L32" s="77"/>
      <c r="M32" s="77"/>
      <c r="N32" s="77"/>
      <c r="O32" s="58"/>
      <c r="P32" s="389"/>
      <c r="Q32" s="358" t="s">
        <v>353</v>
      </c>
      <c r="R32" s="356">
        <f t="shared" si="2"/>
        <v>867091.42898557999</v>
      </c>
      <c r="S32" s="356">
        <f>Data!Q35/S$4*100000*S$3</f>
        <v>31003.345777731847</v>
      </c>
      <c r="T32" s="356">
        <f>Data!R35/T$4*100000*T$3</f>
        <v>39287.76887566824</v>
      </c>
      <c r="U32" s="356">
        <f>Data!S35/U$4*100000*U$3</f>
        <v>20335.240972605527</v>
      </c>
      <c r="V32" s="356">
        <f>Data!T35/V$4*100000*V$3</f>
        <v>8192.1168429922291</v>
      </c>
      <c r="W32" s="356">
        <f>Data!U35/W$4*100000*W$3</f>
        <v>0</v>
      </c>
      <c r="X32" s="356">
        <f>Data!V35/X$4*100000*X$3</f>
        <v>13934.369121438027</v>
      </c>
      <c r="Y32" s="356">
        <f>Data!W35/Y$4*100000*Y$3</f>
        <v>30997.796942288747</v>
      </c>
      <c r="Z32" s="356">
        <f>Data!X35/Z$4*100000*Z$3</f>
        <v>24093.897359997245</v>
      </c>
      <c r="AA32" s="356">
        <f>Data!Y35/AA$4*100000*AA$3</f>
        <v>36698.786842960646</v>
      </c>
      <c r="AB32" s="356">
        <f>Data!Z35/AB$4*100000*AB$3</f>
        <v>84857.913505541015</v>
      </c>
      <c r="AC32" s="356">
        <f>Data!AA35/AC$4*100000*AC$3</f>
        <v>79443.141408791693</v>
      </c>
      <c r="AD32" s="356">
        <f>Data!AB35/AD$4*100000*AD$3</f>
        <v>105851.95255341892</v>
      </c>
      <c r="AE32" s="356">
        <f>Data!AC35/AE$4*100000*AE$3</f>
        <v>123531.34951136488</v>
      </c>
      <c r="AF32" s="356">
        <f>Data!AD35/AF$4*100000*AF$3</f>
        <v>76867.979245645605</v>
      </c>
      <c r="AG32" s="356">
        <f>Data!AE35/AG$4*100000*AG$3</f>
        <v>95101.229975907685</v>
      </c>
      <c r="AH32" s="356">
        <f>Data!AF35/AH$4*100000*AH$3</f>
        <v>55660.974067046169</v>
      </c>
      <c r="AI32" s="356">
        <f>Data!AG35/AI$4*100000*AI$3</f>
        <v>28128.26488788877</v>
      </c>
      <c r="AJ32" s="356">
        <f>Data!AH35/AJ$4*100000*AJ$3</f>
        <v>13105.301094292641</v>
      </c>
      <c r="AK32" s="358" t="s">
        <v>353</v>
      </c>
      <c r="AL32" s="356">
        <f t="shared" si="3"/>
        <v>702283.56066131499</v>
      </c>
      <c r="AM32" s="356">
        <f>Data!Q35/AM$4*100000*AM$3</f>
        <v>46505.018666597774</v>
      </c>
      <c r="AN32" s="356">
        <f>Data!R35/AN$4*100000*AN$3</f>
        <v>56125.384108097489</v>
      </c>
      <c r="AO32" s="356">
        <f>Data!S35/AO$4*100000*AO$3</f>
        <v>26145.309821921393</v>
      </c>
      <c r="AP32" s="356">
        <f>Data!T35/AP$4*100000*AP$3</f>
        <v>10532.721655275724</v>
      </c>
      <c r="AQ32" s="356">
        <f>Data!U35/AQ$4*100000*AQ$3</f>
        <v>0</v>
      </c>
      <c r="AR32" s="356">
        <f>Data!V35/AR$4*100000*AR$3</f>
        <v>15924.993281643459</v>
      </c>
      <c r="AS32" s="356">
        <f>Data!W35/AS$4*100000*AS$3</f>
        <v>26569.5402362475</v>
      </c>
      <c r="AT32" s="356">
        <f>Data!X35/AT$4*100000*AT$3</f>
        <v>20651.91202285478</v>
      </c>
      <c r="AU32" s="356">
        <f>Data!Y35/AU$4*100000*AU$3</f>
        <v>31456.103008251983</v>
      </c>
      <c r="AV32" s="356">
        <f>Data!Z35/AV$4*100000*AV$3</f>
        <v>72735.35443332087</v>
      </c>
      <c r="AW32" s="356">
        <f>Data!AA35/AW$4*100000*AW$3</f>
        <v>56745.101006279787</v>
      </c>
      <c r="AX32" s="356">
        <f>Data!AB35/AX$4*100000*AX$3</f>
        <v>70567.968368945934</v>
      </c>
      <c r="AY32" s="356">
        <f>Data!AC35/AY$4*100000*AY$3</f>
        <v>98825.079609091903</v>
      </c>
      <c r="AZ32" s="356">
        <f>Data!AD35/AZ$4*100000*AZ$3</f>
        <v>57650.984434234197</v>
      </c>
      <c r="BA32" s="356">
        <f>Data!AE35/BA$4*100000*BA$3</f>
        <v>63400.819983938454</v>
      </c>
      <c r="BB32" s="356">
        <f>Data!AF35/BB$4*100000*BB$3</f>
        <v>27830.487033523084</v>
      </c>
      <c r="BC32" s="356">
        <f>Data!AG35/BC$4*100000*BC$3</f>
        <v>14064.132443944385</v>
      </c>
      <c r="BD32" s="356">
        <f>Data!AH35/BD$4*100000*BD$3</f>
        <v>6552.6505471463206</v>
      </c>
      <c r="BE32" s="352"/>
      <c r="BF32" s="352"/>
      <c r="BG32" s="352"/>
      <c r="BH32" s="352"/>
      <c r="BI32" s="352"/>
      <c r="BJ32" s="352"/>
      <c r="BK32" s="352"/>
      <c r="BL32" s="352"/>
      <c r="BM32" s="352"/>
      <c r="BN32" s="352"/>
      <c r="BO32" s="352"/>
      <c r="BP32" s="352"/>
      <c r="BQ32" s="352"/>
      <c r="BR32" s="352"/>
      <c r="BS32" s="352"/>
      <c r="BT32" s="352"/>
      <c r="BU32" s="352"/>
      <c r="BV32" s="352"/>
      <c r="BW32" s="352"/>
    </row>
    <row r="33" spans="1:75" ht="12" customHeight="1">
      <c r="A33" s="30"/>
      <c r="B33" s="134" t="str">
        <f>UPPER(LEFT(TRIM(Data!B36),1)) &amp; MID(TRIM(Data!B36),2,50)</f>
        <v>Skydliaukės</v>
      </c>
      <c r="C33" s="134" t="str">
        <f>UPPER(LEFT(TRIM(Data!C36),1)) &amp; MID(TRIM(Data!C36),2,50)</f>
        <v>C73</v>
      </c>
      <c r="D33" s="135">
        <f>Data!D36</f>
        <v>62</v>
      </c>
      <c r="E33" s="136">
        <f t="shared" si="0"/>
        <v>4.6340172744205237</v>
      </c>
      <c r="F33" s="137">
        <f t="shared" si="4"/>
        <v>4.2471084528657173</v>
      </c>
      <c r="G33" s="137">
        <f t="shared" si="1"/>
        <v>3.3666303138528404</v>
      </c>
      <c r="H33" s="77"/>
      <c r="I33" s="77"/>
      <c r="J33" s="77"/>
      <c r="K33" s="77"/>
      <c r="L33" s="77"/>
      <c r="M33" s="77"/>
      <c r="N33" s="77"/>
      <c r="O33" s="58"/>
      <c r="P33" s="389"/>
      <c r="Q33" s="358" t="s">
        <v>353</v>
      </c>
      <c r="R33" s="356">
        <f t="shared" si="2"/>
        <v>424710.84528657171</v>
      </c>
      <c r="S33" s="356">
        <f>Data!Q36/S$4*100000*S$3</f>
        <v>0</v>
      </c>
      <c r="T33" s="356">
        <f>Data!R36/T$4*100000*T$3</f>
        <v>0</v>
      </c>
      <c r="U33" s="356">
        <f>Data!S36/U$4*100000*U$3</f>
        <v>0</v>
      </c>
      <c r="V33" s="356">
        <f>Data!T36/V$4*100000*V$3</f>
        <v>8192.1168429922291</v>
      </c>
      <c r="W33" s="356">
        <f>Data!U36/W$4*100000*W$3</f>
        <v>6766.2268619206407</v>
      </c>
      <c r="X33" s="356">
        <f>Data!V36/X$4*100000*X$3</f>
        <v>13934.369121438027</v>
      </c>
      <c r="Y33" s="356">
        <f>Data!W36/Y$4*100000*Y$3</f>
        <v>23248.347706716562</v>
      </c>
      <c r="Z33" s="356">
        <f>Data!X36/Z$4*100000*Z$3</f>
        <v>48187.79471999449</v>
      </c>
      <c r="AA33" s="356">
        <f>Data!Y36/AA$4*100000*AA$3</f>
        <v>44038.544211552777</v>
      </c>
      <c r="AB33" s="356">
        <f>Data!Z36/AB$4*100000*AB$3</f>
        <v>28285.971168513672</v>
      </c>
      <c r="AC33" s="356">
        <f>Data!AA36/AC$4*100000*AC$3</f>
        <v>52962.094272527807</v>
      </c>
      <c r="AD33" s="356">
        <f>Data!AB36/AD$4*100000*AD$3</f>
        <v>43586.098110231316</v>
      </c>
      <c r="AE33" s="356">
        <f>Data!AC36/AE$4*100000*AE$3</f>
        <v>68628.527506313825</v>
      </c>
      <c r="AF33" s="356">
        <f>Data!AD36/AF$4*100000*AF$3</f>
        <v>34939.990566202549</v>
      </c>
      <c r="AG33" s="356">
        <f>Data!AE36/AG$4*100000*AG$3</f>
        <v>31700.409991969227</v>
      </c>
      <c r="AH33" s="356">
        <f>Data!AF36/AH$4*100000*AH$3</f>
        <v>20240.354206198612</v>
      </c>
      <c r="AI33" s="356">
        <f>Data!AG36/AI$4*100000*AI$3</f>
        <v>0</v>
      </c>
      <c r="AJ33" s="356">
        <f>Data!AH36/AJ$4*100000*AJ$3</f>
        <v>0</v>
      </c>
      <c r="AK33" s="358" t="s">
        <v>353</v>
      </c>
      <c r="AL33" s="356">
        <f t="shared" si="3"/>
        <v>336663.03138528403</v>
      </c>
      <c r="AM33" s="356">
        <f>Data!Q36/AM$4*100000*AM$3</f>
        <v>0</v>
      </c>
      <c r="AN33" s="356">
        <f>Data!R36/AN$4*100000*AN$3</f>
        <v>0</v>
      </c>
      <c r="AO33" s="356">
        <f>Data!S36/AO$4*100000*AO$3</f>
        <v>0</v>
      </c>
      <c r="AP33" s="356">
        <f>Data!T36/AP$4*100000*AP$3</f>
        <v>10532.721655275724</v>
      </c>
      <c r="AQ33" s="356">
        <f>Data!U36/AQ$4*100000*AQ$3</f>
        <v>7732.8306993378756</v>
      </c>
      <c r="AR33" s="356">
        <f>Data!V36/AR$4*100000*AR$3</f>
        <v>15924.993281643459</v>
      </c>
      <c r="AS33" s="356">
        <f>Data!W36/AS$4*100000*AS$3</f>
        <v>19927.155177185625</v>
      </c>
      <c r="AT33" s="356">
        <f>Data!X36/AT$4*100000*AT$3</f>
        <v>41303.82404570956</v>
      </c>
      <c r="AU33" s="356">
        <f>Data!Y36/AU$4*100000*AU$3</f>
        <v>37747.323609902385</v>
      </c>
      <c r="AV33" s="356">
        <f>Data!Z36/AV$4*100000*AV$3</f>
        <v>24245.11814444029</v>
      </c>
      <c r="AW33" s="356">
        <f>Data!AA36/AW$4*100000*AW$3</f>
        <v>37830.06733751986</v>
      </c>
      <c r="AX33" s="356">
        <f>Data!AB36/AX$4*100000*AX$3</f>
        <v>29057.398740154211</v>
      </c>
      <c r="AY33" s="356">
        <f>Data!AC36/AY$4*100000*AY$3</f>
        <v>54902.822005051057</v>
      </c>
      <c r="AZ33" s="356">
        <f>Data!AD36/AZ$4*100000*AZ$3</f>
        <v>26204.99292465191</v>
      </c>
      <c r="BA33" s="356">
        <f>Data!AE36/BA$4*100000*BA$3</f>
        <v>21133.606661312817</v>
      </c>
      <c r="BB33" s="356">
        <f>Data!AF36/BB$4*100000*BB$3</f>
        <v>10120.177103099306</v>
      </c>
      <c r="BC33" s="356">
        <f>Data!AG36/BC$4*100000*BC$3</f>
        <v>0</v>
      </c>
      <c r="BD33" s="356">
        <f>Data!AH36/BD$4*100000*BD$3</f>
        <v>0</v>
      </c>
      <c r="BE33" s="352"/>
      <c r="BF33" s="352"/>
      <c r="BG33" s="352"/>
      <c r="BH33" s="352"/>
      <c r="BI33" s="352"/>
      <c r="BJ33" s="352"/>
      <c r="BK33" s="352"/>
      <c r="BL33" s="352"/>
      <c r="BM33" s="352"/>
      <c r="BN33" s="352"/>
      <c r="BO33" s="352"/>
      <c r="BP33" s="352"/>
      <c r="BQ33" s="352"/>
      <c r="BR33" s="352"/>
      <c r="BS33" s="352"/>
      <c r="BT33" s="352"/>
      <c r="BU33" s="352"/>
      <c r="BV33" s="352"/>
      <c r="BW33" s="352"/>
    </row>
    <row r="34" spans="1:75" ht="12" customHeight="1">
      <c r="A34" s="30"/>
      <c r="B34" s="129" t="str">
        <f>UPPER(LEFT(TRIM(Data!B37),1)) &amp; MID(TRIM(Data!B37),2,50)</f>
        <v>Kitų endokrininių liaukų</v>
      </c>
      <c r="C34" s="129" t="str">
        <f>UPPER(LEFT(TRIM(Data!C37),1)) &amp; MID(TRIM(Data!C37),2,50)</f>
        <v>C74-C75</v>
      </c>
      <c r="D34" s="130">
        <f>Data!D37</f>
        <v>13</v>
      </c>
      <c r="E34" s="131">
        <f t="shared" si="0"/>
        <v>0.97164878334623883</v>
      </c>
      <c r="F34" s="132">
        <f t="shared" si="4"/>
        <v>0.84463104791566179</v>
      </c>
      <c r="G34" s="133">
        <f t="shared" si="1"/>
        <v>0.61686432810054337</v>
      </c>
      <c r="H34" s="77"/>
      <c r="I34" s="77"/>
      <c r="J34" s="77"/>
      <c r="K34" s="77"/>
      <c r="L34" s="77"/>
      <c r="M34" s="77"/>
      <c r="N34" s="77"/>
      <c r="O34" s="58"/>
      <c r="P34" s="389"/>
      <c r="Q34" s="358" t="s">
        <v>353</v>
      </c>
      <c r="R34" s="356">
        <f t="shared" si="2"/>
        <v>84463.104791566177</v>
      </c>
      <c r="S34" s="356">
        <f>Data!Q37/S$4*100000*S$3</f>
        <v>10334.448592577282</v>
      </c>
      <c r="T34" s="356">
        <f>Data!R37/T$4*100000*T$3</f>
        <v>0</v>
      </c>
      <c r="U34" s="356">
        <f>Data!S37/U$4*100000*U$3</f>
        <v>0</v>
      </c>
      <c r="V34" s="356">
        <f>Data!T37/V$4*100000*V$3</f>
        <v>0</v>
      </c>
      <c r="W34" s="356">
        <f>Data!U37/W$4*100000*W$3</f>
        <v>0</v>
      </c>
      <c r="X34" s="356">
        <f>Data!V37/X$4*100000*X$3</f>
        <v>0</v>
      </c>
      <c r="Y34" s="356">
        <f>Data!W37/Y$4*100000*Y$3</f>
        <v>0</v>
      </c>
      <c r="Z34" s="356">
        <f>Data!X37/Z$4*100000*Z$3</f>
        <v>0</v>
      </c>
      <c r="AA34" s="356">
        <f>Data!Y37/AA$4*100000*AA$3</f>
        <v>0</v>
      </c>
      <c r="AB34" s="356">
        <f>Data!Z37/AB$4*100000*AB$3</f>
        <v>0</v>
      </c>
      <c r="AC34" s="356">
        <f>Data!AA37/AC$4*100000*AC$3</f>
        <v>6620.2617840659759</v>
      </c>
      <c r="AD34" s="356">
        <f>Data!AB37/AD$4*100000*AD$3</f>
        <v>6226.58544431876</v>
      </c>
      <c r="AE34" s="356">
        <f>Data!AC37/AE$4*100000*AE$3</f>
        <v>0</v>
      </c>
      <c r="AF34" s="356">
        <f>Data!AD37/AF$4*100000*AF$3</f>
        <v>13975.996226481018</v>
      </c>
      <c r="AG34" s="356">
        <f>Data!AE37/AG$4*100000*AG$3</f>
        <v>19020.24599518154</v>
      </c>
      <c r="AH34" s="356">
        <f>Data!AF37/AH$4*100000*AH$3</f>
        <v>15180.265654648958</v>
      </c>
      <c r="AI34" s="356">
        <f>Data!AG37/AI$4*100000*AI$3</f>
        <v>0</v>
      </c>
      <c r="AJ34" s="356">
        <f>Data!AH37/AJ$4*100000*AJ$3</f>
        <v>13105.301094292641</v>
      </c>
      <c r="AK34" s="358" t="s">
        <v>353</v>
      </c>
      <c r="AL34" s="356">
        <f t="shared" si="3"/>
        <v>61686.432810054335</v>
      </c>
      <c r="AM34" s="356">
        <f>Data!Q37/AM$4*100000*AM$3</f>
        <v>15501.672888865922</v>
      </c>
      <c r="AN34" s="356">
        <f>Data!R37/AN$4*100000*AN$3</f>
        <v>0</v>
      </c>
      <c r="AO34" s="356">
        <f>Data!S37/AO$4*100000*AO$3</f>
        <v>0</v>
      </c>
      <c r="AP34" s="356">
        <f>Data!T37/AP$4*100000*AP$3</f>
        <v>0</v>
      </c>
      <c r="AQ34" s="356">
        <f>Data!U37/AQ$4*100000*AQ$3</f>
        <v>0</v>
      </c>
      <c r="AR34" s="356">
        <f>Data!V37/AR$4*100000*AR$3</f>
        <v>0</v>
      </c>
      <c r="AS34" s="356">
        <f>Data!W37/AS$4*100000*AS$3</f>
        <v>0</v>
      </c>
      <c r="AT34" s="356">
        <f>Data!X37/AT$4*100000*AT$3</f>
        <v>0</v>
      </c>
      <c r="AU34" s="356">
        <f>Data!Y37/AU$4*100000*AU$3</f>
        <v>0</v>
      </c>
      <c r="AV34" s="356">
        <f>Data!Z37/AV$4*100000*AV$3</f>
        <v>0</v>
      </c>
      <c r="AW34" s="356">
        <f>Data!AA37/AW$4*100000*AW$3</f>
        <v>4728.7584171899825</v>
      </c>
      <c r="AX34" s="356">
        <f>Data!AB37/AX$4*100000*AX$3</f>
        <v>4151.0569628791736</v>
      </c>
      <c r="AY34" s="356">
        <f>Data!AC37/AY$4*100000*AY$3</f>
        <v>0</v>
      </c>
      <c r="AZ34" s="356">
        <f>Data!AD37/AZ$4*100000*AZ$3</f>
        <v>10481.997169860764</v>
      </c>
      <c r="BA34" s="356">
        <f>Data!AE37/BA$4*100000*BA$3</f>
        <v>12680.163996787693</v>
      </c>
      <c r="BB34" s="356">
        <f>Data!AF37/BB$4*100000*BB$3</f>
        <v>7590.132827324479</v>
      </c>
      <c r="BC34" s="356">
        <f>Data!AG37/BC$4*100000*BC$3</f>
        <v>0</v>
      </c>
      <c r="BD34" s="356">
        <f>Data!AH37/BD$4*100000*BD$3</f>
        <v>6552.6505471463206</v>
      </c>
      <c r="BE34" s="352"/>
      <c r="BF34" s="352"/>
      <c r="BG34" s="352"/>
      <c r="BH34" s="352"/>
      <c r="BI34" s="352"/>
      <c r="BJ34" s="352"/>
      <c r="BK34" s="352"/>
      <c r="BL34" s="352"/>
      <c r="BM34" s="352"/>
      <c r="BN34" s="352"/>
      <c r="BO34" s="352"/>
      <c r="BP34" s="352"/>
      <c r="BQ34" s="352"/>
      <c r="BR34" s="352"/>
      <c r="BS34" s="352"/>
      <c r="BT34" s="352"/>
      <c r="BU34" s="352"/>
      <c r="BV34" s="352"/>
      <c r="BW34" s="352"/>
    </row>
    <row r="35" spans="1:75" ht="12" customHeight="1">
      <c r="A35" s="30"/>
      <c r="B35" s="134" t="str">
        <f>UPPER(LEFT(TRIM(Data!B38),1)) &amp; MID(TRIM(Data!B38),2,50)</f>
        <v>Nepatikslintos lokalizacijos</v>
      </c>
      <c r="C35" s="134" t="str">
        <f>UPPER(LEFT(TRIM(Data!C38),1)) &amp; MID(TRIM(Data!C38),2,50)</f>
        <v>C76-C80</v>
      </c>
      <c r="D35" s="135">
        <f>Data!D38</f>
        <v>227</v>
      </c>
      <c r="E35" s="136">
        <f t="shared" si="0"/>
        <v>16.966482601507401</v>
      </c>
      <c r="F35" s="137">
        <f t="shared" si="4"/>
        <v>13.873134379832464</v>
      </c>
      <c r="G35" s="137">
        <f t="shared" si="1"/>
        <v>9.1953128589263748</v>
      </c>
      <c r="H35" s="77"/>
      <c r="I35" s="77"/>
      <c r="J35" s="77"/>
      <c r="K35" s="77"/>
      <c r="L35" s="77"/>
      <c r="M35" s="77"/>
      <c r="N35" s="77"/>
      <c r="O35" s="58"/>
      <c r="P35" s="389"/>
      <c r="Q35" s="358" t="s">
        <v>353</v>
      </c>
      <c r="R35" s="356">
        <f t="shared" si="2"/>
        <v>1387313.4379832465</v>
      </c>
      <c r="S35" s="356">
        <f>Data!Q38/S$4*100000*S$3</f>
        <v>0</v>
      </c>
      <c r="T35" s="356">
        <f>Data!R38/T$4*100000*T$3</f>
        <v>0</v>
      </c>
      <c r="U35" s="356">
        <f>Data!S38/U$4*100000*U$3</f>
        <v>0</v>
      </c>
      <c r="V35" s="356">
        <f>Data!T38/V$4*100000*V$3</f>
        <v>0</v>
      </c>
      <c r="W35" s="356">
        <f>Data!U38/W$4*100000*W$3</f>
        <v>0</v>
      </c>
      <c r="X35" s="356">
        <f>Data!V38/X$4*100000*X$3</f>
        <v>0</v>
      </c>
      <c r="Y35" s="356">
        <f>Data!W38/Y$4*100000*Y$3</f>
        <v>0</v>
      </c>
      <c r="Z35" s="356">
        <f>Data!X38/Z$4*100000*Z$3</f>
        <v>8031.299119999082</v>
      </c>
      <c r="AA35" s="356">
        <f>Data!Y38/AA$4*100000*AA$3</f>
        <v>14679.514737184261</v>
      </c>
      <c r="AB35" s="356">
        <f>Data!Z38/AB$4*100000*AB$3</f>
        <v>7071.4927921284179</v>
      </c>
      <c r="AC35" s="356">
        <f>Data!AA38/AC$4*100000*AC$3</f>
        <v>79443.141408791693</v>
      </c>
      <c r="AD35" s="356">
        <f>Data!AB38/AD$4*100000*AD$3</f>
        <v>193024.14877388155</v>
      </c>
      <c r="AE35" s="356">
        <f>Data!AC38/AE$4*100000*AE$3</f>
        <v>178434.17151641595</v>
      </c>
      <c r="AF35" s="356">
        <f>Data!AD38/AF$4*100000*AF$3</f>
        <v>272531.92641637987</v>
      </c>
      <c r="AG35" s="356">
        <f>Data!AE38/AG$4*100000*AG$3</f>
        <v>266283.44393254153</v>
      </c>
      <c r="AH35" s="356">
        <f>Data!AF38/AH$4*100000*AH$3</f>
        <v>177103.09930423781</v>
      </c>
      <c r="AI35" s="356">
        <f>Data!AG38/AI$4*100000*AI$3</f>
        <v>92421.441774491686</v>
      </c>
      <c r="AJ35" s="356">
        <f>Data!AH38/AJ$4*100000*AJ$3</f>
        <v>98289.758207194813</v>
      </c>
      <c r="AK35" s="358" t="s">
        <v>353</v>
      </c>
      <c r="AL35" s="356">
        <f t="shared" si="3"/>
        <v>919531.28589263745</v>
      </c>
      <c r="AM35" s="356">
        <f>Data!Q38/AM$4*100000*AM$3</f>
        <v>0</v>
      </c>
      <c r="AN35" s="356">
        <f>Data!R38/AN$4*100000*AN$3</f>
        <v>0</v>
      </c>
      <c r="AO35" s="356">
        <f>Data!S38/AO$4*100000*AO$3</f>
        <v>0</v>
      </c>
      <c r="AP35" s="356">
        <f>Data!T38/AP$4*100000*AP$3</f>
        <v>0</v>
      </c>
      <c r="AQ35" s="356">
        <f>Data!U38/AQ$4*100000*AQ$3</f>
        <v>0</v>
      </c>
      <c r="AR35" s="356">
        <f>Data!V38/AR$4*100000*AR$3</f>
        <v>0</v>
      </c>
      <c r="AS35" s="356">
        <f>Data!W38/AS$4*100000*AS$3</f>
        <v>0</v>
      </c>
      <c r="AT35" s="356">
        <f>Data!X38/AT$4*100000*AT$3</f>
        <v>6883.9706742849276</v>
      </c>
      <c r="AU35" s="356">
        <f>Data!Y38/AU$4*100000*AU$3</f>
        <v>12582.441203300796</v>
      </c>
      <c r="AV35" s="356">
        <f>Data!Z38/AV$4*100000*AV$3</f>
        <v>6061.2795361100725</v>
      </c>
      <c r="AW35" s="356">
        <f>Data!AA38/AW$4*100000*AW$3</f>
        <v>56745.101006279787</v>
      </c>
      <c r="AX35" s="356">
        <f>Data!AB38/AX$4*100000*AX$3</f>
        <v>128682.76584925437</v>
      </c>
      <c r="AY35" s="356">
        <f>Data!AC38/AY$4*100000*AY$3</f>
        <v>142747.33721313276</v>
      </c>
      <c r="AZ35" s="356">
        <f>Data!AD38/AZ$4*100000*AZ$3</f>
        <v>204398.9448122849</v>
      </c>
      <c r="BA35" s="356">
        <f>Data!AE38/BA$4*100000*BA$3</f>
        <v>177522.29595502769</v>
      </c>
      <c r="BB35" s="356">
        <f>Data!AF38/BB$4*100000*BB$3</f>
        <v>88551.549652118905</v>
      </c>
      <c r="BC35" s="356">
        <f>Data!AG38/BC$4*100000*BC$3</f>
        <v>46210.720887245843</v>
      </c>
      <c r="BD35" s="356">
        <f>Data!AH38/BD$4*100000*BD$3</f>
        <v>49144.879103597406</v>
      </c>
      <c r="BE35" s="352"/>
      <c r="BF35" s="352"/>
      <c r="BG35" s="352"/>
      <c r="BH35" s="352"/>
      <c r="BI35" s="352"/>
      <c r="BJ35" s="352"/>
      <c r="BK35" s="352"/>
      <c r="BL35" s="352"/>
      <c r="BM35" s="352"/>
      <c r="BN35" s="352"/>
      <c r="BO35" s="352"/>
      <c r="BP35" s="352"/>
      <c r="BQ35" s="352"/>
      <c r="BR35" s="352"/>
      <c r="BS35" s="352"/>
      <c r="BT35" s="352"/>
      <c r="BU35" s="352"/>
      <c r="BV35" s="352"/>
      <c r="BW35" s="352"/>
    </row>
    <row r="36" spans="1:75" ht="12" customHeight="1">
      <c r="A36" s="30"/>
      <c r="B36" s="129" t="str">
        <f>UPPER(LEFT(TRIM(Data!B39),1)) &amp; MID(TRIM(Data!B39),2,50)</f>
        <v>Hodžkino limfomos</v>
      </c>
      <c r="C36" s="129" t="str">
        <f>UPPER(LEFT(TRIM(Data!C39),1)) &amp; MID(TRIM(Data!C39),2,50)</f>
        <v>C81</v>
      </c>
      <c r="D36" s="130">
        <f>Data!D39</f>
        <v>18</v>
      </c>
      <c r="E36" s="131">
        <f t="shared" si="0"/>
        <v>1.345359853864023</v>
      </c>
      <c r="F36" s="132">
        <f t="shared" si="4"/>
        <v>1.2340163768524028</v>
      </c>
      <c r="G36" s="133">
        <f t="shared" si="1"/>
        <v>1.1205137307089594</v>
      </c>
      <c r="H36" s="77"/>
      <c r="I36" s="77"/>
      <c r="J36" s="77"/>
      <c r="K36" s="77"/>
      <c r="L36" s="77"/>
      <c r="M36" s="77"/>
      <c r="N36" s="77"/>
      <c r="O36" s="58"/>
      <c r="P36" s="389"/>
      <c r="Q36" s="358" t="s">
        <v>353</v>
      </c>
      <c r="R36" s="356">
        <f t="shared" si="2"/>
        <v>123401.63768524028</v>
      </c>
      <c r="S36" s="356">
        <f>Data!Q39/S$4*100000*S$3</f>
        <v>0</v>
      </c>
      <c r="T36" s="356">
        <f>Data!R39/T$4*100000*T$3</f>
        <v>0</v>
      </c>
      <c r="U36" s="356">
        <f>Data!S39/U$4*100000*U$3</f>
        <v>0</v>
      </c>
      <c r="V36" s="356">
        <f>Data!T39/V$4*100000*V$3</f>
        <v>0</v>
      </c>
      <c r="W36" s="356">
        <f>Data!U39/W$4*100000*W$3</f>
        <v>27064.907447682563</v>
      </c>
      <c r="X36" s="356">
        <f>Data!V39/X$4*100000*X$3</f>
        <v>20901.553682157042</v>
      </c>
      <c r="Y36" s="356">
        <f>Data!W39/Y$4*100000*Y$3</f>
        <v>23248.347706716562</v>
      </c>
      <c r="Z36" s="356">
        <f>Data!X39/Z$4*100000*Z$3</f>
        <v>0</v>
      </c>
      <c r="AA36" s="356">
        <f>Data!Y39/AA$4*100000*AA$3</f>
        <v>14679.514737184261</v>
      </c>
      <c r="AB36" s="356">
        <f>Data!Z39/AB$4*100000*AB$3</f>
        <v>0</v>
      </c>
      <c r="AC36" s="356">
        <f>Data!AA39/AC$4*100000*AC$3</f>
        <v>6620.2617840659759</v>
      </c>
      <c r="AD36" s="356">
        <f>Data!AB39/AD$4*100000*AD$3</f>
        <v>0</v>
      </c>
      <c r="AE36" s="356">
        <f>Data!AC39/AE$4*100000*AE$3</f>
        <v>0</v>
      </c>
      <c r="AF36" s="356">
        <f>Data!AD39/AF$4*100000*AF$3</f>
        <v>13975.996226481018</v>
      </c>
      <c r="AG36" s="356">
        <f>Data!AE39/AG$4*100000*AG$3</f>
        <v>6340.0819983938454</v>
      </c>
      <c r="AH36" s="356">
        <f>Data!AF39/AH$4*100000*AH$3</f>
        <v>0</v>
      </c>
      <c r="AI36" s="356">
        <f>Data!AG39/AI$4*100000*AI$3</f>
        <v>4018.3235554126818</v>
      </c>
      <c r="AJ36" s="356">
        <f>Data!AH39/AJ$4*100000*AJ$3</f>
        <v>6552.6505471463206</v>
      </c>
      <c r="AK36" s="358" t="s">
        <v>353</v>
      </c>
      <c r="AL36" s="356">
        <f t="shared" si="3"/>
        <v>112051.37307089593</v>
      </c>
      <c r="AM36" s="356">
        <f>Data!Q39/AM$4*100000*AM$3</f>
        <v>0</v>
      </c>
      <c r="AN36" s="356">
        <f>Data!R39/AN$4*100000*AN$3</f>
        <v>0</v>
      </c>
      <c r="AO36" s="356">
        <f>Data!S39/AO$4*100000*AO$3</f>
        <v>0</v>
      </c>
      <c r="AP36" s="356">
        <f>Data!T39/AP$4*100000*AP$3</f>
        <v>0</v>
      </c>
      <c r="AQ36" s="356">
        <f>Data!U39/AQ$4*100000*AQ$3</f>
        <v>30931.322797351502</v>
      </c>
      <c r="AR36" s="356">
        <f>Data!V39/AR$4*100000*AR$3</f>
        <v>23887.489922465189</v>
      </c>
      <c r="AS36" s="356">
        <f>Data!W39/AS$4*100000*AS$3</f>
        <v>19927.155177185625</v>
      </c>
      <c r="AT36" s="356">
        <f>Data!X39/AT$4*100000*AT$3</f>
        <v>0</v>
      </c>
      <c r="AU36" s="356">
        <f>Data!Y39/AU$4*100000*AU$3</f>
        <v>12582.441203300796</v>
      </c>
      <c r="AV36" s="356">
        <f>Data!Z39/AV$4*100000*AV$3</f>
        <v>0</v>
      </c>
      <c r="AW36" s="356">
        <f>Data!AA39/AW$4*100000*AW$3</f>
        <v>4728.7584171899825</v>
      </c>
      <c r="AX36" s="356">
        <f>Data!AB39/AX$4*100000*AX$3</f>
        <v>0</v>
      </c>
      <c r="AY36" s="356">
        <f>Data!AC39/AY$4*100000*AY$3</f>
        <v>0</v>
      </c>
      <c r="AZ36" s="356">
        <f>Data!AD39/AZ$4*100000*AZ$3</f>
        <v>10481.997169860764</v>
      </c>
      <c r="BA36" s="356">
        <f>Data!AE39/BA$4*100000*BA$3</f>
        <v>4226.7213322625639</v>
      </c>
      <c r="BB36" s="356">
        <f>Data!AF39/BB$4*100000*BB$3</f>
        <v>0</v>
      </c>
      <c r="BC36" s="356">
        <f>Data!AG39/BC$4*100000*BC$3</f>
        <v>2009.1617777063409</v>
      </c>
      <c r="BD36" s="356">
        <f>Data!AH39/BD$4*100000*BD$3</f>
        <v>3276.3252735731603</v>
      </c>
      <c r="BE36" s="352"/>
      <c r="BF36" s="352"/>
      <c r="BG36" s="352"/>
      <c r="BH36" s="352"/>
      <c r="BI36" s="352"/>
      <c r="BJ36" s="352"/>
      <c r="BK36" s="352"/>
      <c r="BL36" s="352"/>
      <c r="BM36" s="352"/>
      <c r="BN36" s="352"/>
      <c r="BO36" s="352"/>
      <c r="BP36" s="352"/>
      <c r="BQ36" s="352"/>
      <c r="BR36" s="352"/>
      <c r="BS36" s="352"/>
      <c r="BT36" s="352"/>
      <c r="BU36" s="352"/>
      <c r="BV36" s="352"/>
      <c r="BW36" s="352"/>
    </row>
    <row r="37" spans="1:75" ht="12" customHeight="1">
      <c r="A37" s="30"/>
      <c r="B37" s="134" t="str">
        <f>UPPER(LEFT(TRIM(Data!B40),1)) &amp; MID(TRIM(Data!B40),2,50)</f>
        <v>Ne Hodžkino limfomos</v>
      </c>
      <c r="C37" s="134" t="str">
        <f>UPPER(LEFT(TRIM(Data!C40),1)) &amp; MID(TRIM(Data!C40),2,50)</f>
        <v>C82-C85</v>
      </c>
      <c r="D37" s="135">
        <f>Data!D40</f>
        <v>165</v>
      </c>
      <c r="E37" s="136">
        <f t="shared" si="0"/>
        <v>12.332465327086878</v>
      </c>
      <c r="F37" s="137">
        <f t="shared" si="4"/>
        <v>10.706154823722899</v>
      </c>
      <c r="G37" s="137">
        <f t="shared" si="1"/>
        <v>8.0834188514674459</v>
      </c>
      <c r="H37" s="77"/>
      <c r="I37" s="77"/>
      <c r="J37" s="77"/>
      <c r="K37" s="77"/>
      <c r="L37" s="77"/>
      <c r="M37" s="77"/>
      <c r="N37" s="77"/>
      <c r="O37" s="58"/>
      <c r="P37" s="389"/>
      <c r="Q37" s="358" t="s">
        <v>353</v>
      </c>
      <c r="R37" s="356">
        <f t="shared" si="2"/>
        <v>1070615.48237229</v>
      </c>
      <c r="S37" s="356">
        <f>Data!Q40/S$4*100000*S$3</f>
        <v>20668.897185154565</v>
      </c>
      <c r="T37" s="356">
        <f>Data!R40/T$4*100000*T$3</f>
        <v>9821.94221891706</v>
      </c>
      <c r="U37" s="356">
        <f>Data!S40/U$4*100000*U$3</f>
        <v>30502.86145890829</v>
      </c>
      <c r="V37" s="356">
        <f>Data!T40/V$4*100000*V$3</f>
        <v>8192.1168429922291</v>
      </c>
      <c r="W37" s="356">
        <f>Data!U40/W$4*100000*W$3</f>
        <v>6766.2268619206407</v>
      </c>
      <c r="X37" s="356">
        <f>Data!V40/X$4*100000*X$3</f>
        <v>13934.369121438027</v>
      </c>
      <c r="Y37" s="356">
        <f>Data!W40/Y$4*100000*Y$3</f>
        <v>69745.043120149683</v>
      </c>
      <c r="Z37" s="356">
        <f>Data!X40/Z$4*100000*Z$3</f>
        <v>56219.093839993569</v>
      </c>
      <c r="AA37" s="356">
        <f>Data!Y40/AA$4*100000*AA$3</f>
        <v>36698.786842960646</v>
      </c>
      <c r="AB37" s="356">
        <f>Data!Z40/AB$4*100000*AB$3</f>
        <v>35357.46396064209</v>
      </c>
      <c r="AC37" s="356">
        <f>Data!AA40/AC$4*100000*AC$3</f>
        <v>26481.047136263904</v>
      </c>
      <c r="AD37" s="356">
        <f>Data!AB40/AD$4*100000*AD$3</f>
        <v>174344.39244092526</v>
      </c>
      <c r="AE37" s="356">
        <f>Data!AC40/AE$4*100000*AE$3</f>
        <v>137257.05501262765</v>
      </c>
      <c r="AF37" s="356">
        <f>Data!AD40/AF$4*100000*AF$3</f>
        <v>139759.96226481019</v>
      </c>
      <c r="AG37" s="356">
        <f>Data!AE40/AG$4*100000*AG$3</f>
        <v>107781.39397269538</v>
      </c>
      <c r="AH37" s="356">
        <f>Data!AF40/AH$4*100000*AH$3</f>
        <v>65781.151170145473</v>
      </c>
      <c r="AI37" s="356">
        <f>Data!AG40/AI$4*100000*AI$3</f>
        <v>72329.823997428277</v>
      </c>
      <c r="AJ37" s="356">
        <f>Data!AH40/AJ$4*100000*AJ$3</f>
        <v>58973.854924316889</v>
      </c>
      <c r="AK37" s="358" t="s">
        <v>353</v>
      </c>
      <c r="AL37" s="356">
        <f t="shared" si="3"/>
        <v>808341.88514674455</v>
      </c>
      <c r="AM37" s="356">
        <f>Data!Q40/AM$4*100000*AM$3</f>
        <v>31003.345777731844</v>
      </c>
      <c r="AN37" s="356">
        <f>Data!R40/AN$4*100000*AN$3</f>
        <v>14031.346027024372</v>
      </c>
      <c r="AO37" s="356">
        <f>Data!S40/AO$4*100000*AO$3</f>
        <v>39217.964732882087</v>
      </c>
      <c r="AP37" s="356">
        <f>Data!T40/AP$4*100000*AP$3</f>
        <v>10532.721655275724</v>
      </c>
      <c r="AQ37" s="356">
        <f>Data!U40/AQ$4*100000*AQ$3</f>
        <v>7732.8306993378756</v>
      </c>
      <c r="AR37" s="356">
        <f>Data!V40/AR$4*100000*AR$3</f>
        <v>15924.993281643459</v>
      </c>
      <c r="AS37" s="356">
        <f>Data!W40/AS$4*100000*AS$3</f>
        <v>59781.465531556867</v>
      </c>
      <c r="AT37" s="356">
        <f>Data!X40/AT$4*100000*AT$3</f>
        <v>48187.79471999449</v>
      </c>
      <c r="AU37" s="356">
        <f>Data!Y40/AU$4*100000*AU$3</f>
        <v>31456.103008251983</v>
      </c>
      <c r="AV37" s="356">
        <f>Data!Z40/AV$4*100000*AV$3</f>
        <v>30306.397680550363</v>
      </c>
      <c r="AW37" s="356">
        <f>Data!AA40/AW$4*100000*AW$3</f>
        <v>18915.03366875993</v>
      </c>
      <c r="AX37" s="356">
        <f>Data!AB40/AX$4*100000*AX$3</f>
        <v>116229.59496061684</v>
      </c>
      <c r="AY37" s="356">
        <f>Data!AC40/AY$4*100000*AY$3</f>
        <v>109805.64401010211</v>
      </c>
      <c r="AZ37" s="356">
        <f>Data!AD40/AZ$4*100000*AZ$3</f>
        <v>104819.97169860764</v>
      </c>
      <c r="BA37" s="356">
        <f>Data!AE40/BA$4*100000*BA$3</f>
        <v>71854.262648463584</v>
      </c>
      <c r="BB37" s="356">
        <f>Data!AF40/BB$4*100000*BB$3</f>
        <v>32890.575585072736</v>
      </c>
      <c r="BC37" s="356">
        <f>Data!AG40/BC$4*100000*BC$3</f>
        <v>36164.911998714138</v>
      </c>
      <c r="BD37" s="356">
        <f>Data!AH40/BD$4*100000*BD$3</f>
        <v>29486.927462158445</v>
      </c>
      <c r="BE37" s="352"/>
      <c r="BF37" s="352"/>
      <c r="BG37" s="352"/>
      <c r="BH37" s="352"/>
      <c r="BI37" s="352"/>
      <c r="BJ37" s="352"/>
      <c r="BK37" s="352"/>
      <c r="BL37" s="352"/>
      <c r="BM37" s="352"/>
      <c r="BN37" s="352"/>
      <c r="BO37" s="352"/>
      <c r="BP37" s="352"/>
      <c r="BQ37" s="352"/>
      <c r="BR37" s="352"/>
      <c r="BS37" s="352"/>
      <c r="BT37" s="352"/>
      <c r="BU37" s="352"/>
      <c r="BV37" s="352"/>
      <c r="BW37" s="352"/>
    </row>
    <row r="38" spans="1:75" ht="12" customHeight="1">
      <c r="A38" s="30"/>
      <c r="B38" s="129" t="str">
        <f>UPPER(LEFT(TRIM(Data!B41),1)) &amp; MID(TRIM(Data!B41),2,50)</f>
        <v>Mielominės ligos</v>
      </c>
      <c r="C38" s="129" t="str">
        <f>UPPER(LEFT(TRIM(Data!C41),1)) &amp; MID(TRIM(Data!C41),2,50)</f>
        <v>C90</v>
      </c>
      <c r="D38" s="130">
        <f>Data!D41</f>
        <v>78</v>
      </c>
      <c r="E38" s="131">
        <f t="shared" si="0"/>
        <v>5.8298927000774325</v>
      </c>
      <c r="F38" s="132">
        <f t="shared" si="4"/>
        <v>4.521223024798533</v>
      </c>
      <c r="G38" s="133">
        <f t="shared" si="1"/>
        <v>2.8676736702989474</v>
      </c>
      <c r="H38" s="77"/>
      <c r="I38" s="77"/>
      <c r="J38" s="77"/>
      <c r="K38" s="77"/>
      <c r="L38" s="77"/>
      <c r="M38" s="77"/>
      <c r="N38" s="77"/>
      <c r="O38" s="58"/>
      <c r="P38" s="389"/>
      <c r="Q38" s="358" t="s">
        <v>353</v>
      </c>
      <c r="R38" s="356">
        <f t="shared" si="2"/>
        <v>452122.30247985333</v>
      </c>
      <c r="S38" s="356">
        <f>Data!Q41/S$4*100000*S$3</f>
        <v>0</v>
      </c>
      <c r="T38" s="356">
        <f>Data!R41/T$4*100000*T$3</f>
        <v>0</v>
      </c>
      <c r="U38" s="356">
        <f>Data!S41/U$4*100000*U$3</f>
        <v>0</v>
      </c>
      <c r="V38" s="356">
        <f>Data!T41/V$4*100000*V$3</f>
        <v>0</v>
      </c>
      <c r="W38" s="356">
        <f>Data!U41/W$4*100000*W$3</f>
        <v>0</v>
      </c>
      <c r="X38" s="356">
        <f>Data!V41/X$4*100000*X$3</f>
        <v>0</v>
      </c>
      <c r="Y38" s="356">
        <f>Data!W41/Y$4*100000*Y$3</f>
        <v>0</v>
      </c>
      <c r="Z38" s="356">
        <f>Data!X41/Z$4*100000*Z$3</f>
        <v>0</v>
      </c>
      <c r="AA38" s="356">
        <f>Data!Y41/AA$4*100000*AA$3</f>
        <v>14679.514737184261</v>
      </c>
      <c r="AB38" s="356">
        <f>Data!Z41/AB$4*100000*AB$3</f>
        <v>7071.4927921284179</v>
      </c>
      <c r="AC38" s="356">
        <f>Data!AA41/AC$4*100000*AC$3</f>
        <v>13240.523568131952</v>
      </c>
      <c r="AD38" s="356">
        <f>Data!AB41/AD$4*100000*AD$3</f>
        <v>68492.439887506349</v>
      </c>
      <c r="AE38" s="356">
        <f>Data!AC41/AE$4*100000*AE$3</f>
        <v>41177.116503788297</v>
      </c>
      <c r="AF38" s="356">
        <f>Data!AD41/AF$4*100000*AF$3</f>
        <v>41927.988679443064</v>
      </c>
      <c r="AG38" s="356">
        <f>Data!AE41/AG$4*100000*AG$3</f>
        <v>95101.229975907685</v>
      </c>
      <c r="AH38" s="356">
        <f>Data!AF41/AH$4*100000*AH$3</f>
        <v>70841.239721695136</v>
      </c>
      <c r="AI38" s="356">
        <f>Data!AG41/AI$4*100000*AI$3</f>
        <v>60274.853331190228</v>
      </c>
      <c r="AJ38" s="356">
        <f>Data!AH41/AJ$4*100000*AJ$3</f>
        <v>39315.903282877924</v>
      </c>
      <c r="AK38" s="358" t="s">
        <v>353</v>
      </c>
      <c r="AL38" s="356">
        <f t="shared" si="3"/>
        <v>286767.36702989473</v>
      </c>
      <c r="AM38" s="356">
        <f>Data!Q41/AM$4*100000*AM$3</f>
        <v>0</v>
      </c>
      <c r="AN38" s="356">
        <f>Data!R41/AN$4*100000*AN$3</f>
        <v>0</v>
      </c>
      <c r="AO38" s="356">
        <f>Data!S41/AO$4*100000*AO$3</f>
        <v>0</v>
      </c>
      <c r="AP38" s="356">
        <f>Data!T41/AP$4*100000*AP$3</f>
        <v>0</v>
      </c>
      <c r="AQ38" s="356">
        <f>Data!U41/AQ$4*100000*AQ$3</f>
        <v>0</v>
      </c>
      <c r="AR38" s="356">
        <f>Data!V41/AR$4*100000*AR$3</f>
        <v>0</v>
      </c>
      <c r="AS38" s="356">
        <f>Data!W41/AS$4*100000*AS$3</f>
        <v>0</v>
      </c>
      <c r="AT38" s="356">
        <f>Data!X41/AT$4*100000*AT$3</f>
        <v>0</v>
      </c>
      <c r="AU38" s="356">
        <f>Data!Y41/AU$4*100000*AU$3</f>
        <v>12582.441203300796</v>
      </c>
      <c r="AV38" s="356">
        <f>Data!Z41/AV$4*100000*AV$3</f>
        <v>6061.2795361100725</v>
      </c>
      <c r="AW38" s="356">
        <f>Data!AA41/AW$4*100000*AW$3</f>
        <v>9457.5168343799651</v>
      </c>
      <c r="AX38" s="356">
        <f>Data!AB41/AX$4*100000*AX$3</f>
        <v>45661.626591670902</v>
      </c>
      <c r="AY38" s="356">
        <f>Data!AC41/AY$4*100000*AY$3</f>
        <v>32941.693203030642</v>
      </c>
      <c r="AZ38" s="356">
        <f>Data!AD41/AZ$4*100000*AZ$3</f>
        <v>31445.991509582294</v>
      </c>
      <c r="BA38" s="356">
        <f>Data!AE41/BA$4*100000*BA$3</f>
        <v>63400.819983938454</v>
      </c>
      <c r="BB38" s="356">
        <f>Data!AF41/BB$4*100000*BB$3</f>
        <v>35420.619860847568</v>
      </c>
      <c r="BC38" s="356">
        <f>Data!AG41/BC$4*100000*BC$3</f>
        <v>30137.426665595114</v>
      </c>
      <c r="BD38" s="356">
        <f>Data!AH41/BD$4*100000*BD$3</f>
        <v>19657.951641438962</v>
      </c>
      <c r="BE38" s="352"/>
      <c r="BF38" s="352"/>
      <c r="BG38" s="352"/>
      <c r="BH38" s="352"/>
      <c r="BI38" s="352"/>
      <c r="BJ38" s="352"/>
      <c r="BK38" s="352"/>
      <c r="BL38" s="352"/>
      <c r="BM38" s="352"/>
      <c r="BN38" s="352"/>
      <c r="BO38" s="352"/>
      <c r="BP38" s="352"/>
      <c r="BQ38" s="352"/>
      <c r="BR38" s="352"/>
      <c r="BS38" s="352"/>
      <c r="BT38" s="352"/>
      <c r="BU38" s="352"/>
      <c r="BV38" s="352"/>
      <c r="BW38" s="352"/>
    </row>
    <row r="39" spans="1:75" ht="12" customHeight="1">
      <c r="A39" s="30"/>
      <c r="B39" s="134" t="str">
        <f>UPPER(LEFT(TRIM(Data!B42),1)) &amp; MID(TRIM(Data!B42),2,50)</f>
        <v>Leukemijos</v>
      </c>
      <c r="C39" s="134" t="str">
        <f>UPPER(LEFT(TRIM(Data!C42),1)) &amp; MID(TRIM(Data!C42),2,50)</f>
        <v>C91-C95</v>
      </c>
      <c r="D39" s="135">
        <f>Data!D42</f>
        <v>249</v>
      </c>
      <c r="E39" s="136">
        <f t="shared" si="0"/>
        <v>18.61081131178565</v>
      </c>
      <c r="F39" s="137">
        <f t="shared" si="4"/>
        <v>16.081508483551861</v>
      </c>
      <c r="G39" s="137">
        <f t="shared" si="1"/>
        <v>12.345423685394143</v>
      </c>
      <c r="H39" s="77"/>
      <c r="I39" s="77"/>
      <c r="J39" s="77"/>
      <c r="K39" s="77"/>
      <c r="L39" s="77"/>
      <c r="M39" s="77"/>
      <c r="N39" s="77"/>
      <c r="O39" s="58"/>
      <c r="P39" s="389"/>
      <c r="Q39" s="358" t="s">
        <v>353</v>
      </c>
      <c r="R39" s="356">
        <f t="shared" si="2"/>
        <v>1608150.8483551862</v>
      </c>
      <c r="S39" s="356">
        <f>Data!Q42/S$4*100000*S$3</f>
        <v>82675.588740618259</v>
      </c>
      <c r="T39" s="356">
        <f>Data!R42/T$4*100000*T$3</f>
        <v>29465.826656751182</v>
      </c>
      <c r="U39" s="356">
        <f>Data!S42/U$4*100000*U$3</f>
        <v>20335.240972605527</v>
      </c>
      <c r="V39" s="356">
        <f>Data!T42/V$4*100000*V$3</f>
        <v>16384.233685984458</v>
      </c>
      <c r="W39" s="356">
        <f>Data!U42/W$4*100000*W$3</f>
        <v>13532.453723841281</v>
      </c>
      <c r="X39" s="356">
        <f>Data!V42/X$4*100000*X$3</f>
        <v>55737.476485752108</v>
      </c>
      <c r="Y39" s="356">
        <f>Data!W42/Y$4*100000*Y$3</f>
        <v>23248.347706716562</v>
      </c>
      <c r="Z39" s="356">
        <f>Data!X42/Z$4*100000*Z$3</f>
        <v>16062.598239998164</v>
      </c>
      <c r="AA39" s="356">
        <f>Data!Y42/AA$4*100000*AA$3</f>
        <v>51378.3015801449</v>
      </c>
      <c r="AB39" s="356">
        <f>Data!Z42/AB$4*100000*AB$3</f>
        <v>49500.449544898926</v>
      </c>
      <c r="AC39" s="356">
        <f>Data!AA42/AC$4*100000*AC$3</f>
        <v>119164.71211318756</v>
      </c>
      <c r="AD39" s="356">
        <f>Data!AB42/AD$4*100000*AD$3</f>
        <v>149438.05066365021</v>
      </c>
      <c r="AE39" s="356">
        <f>Data!AC42/AE$4*100000*AE$3</f>
        <v>157845.61326452179</v>
      </c>
      <c r="AF39" s="356">
        <f>Data!AD42/AF$4*100000*AF$3</f>
        <v>244579.93396341783</v>
      </c>
      <c r="AG39" s="356">
        <f>Data!AE42/AG$4*100000*AG$3</f>
        <v>228242.95194217845</v>
      </c>
      <c r="AH39" s="356">
        <f>Data!AF42/AH$4*100000*AH$3</f>
        <v>146742.56799493992</v>
      </c>
      <c r="AI39" s="356">
        <f>Data!AG42/AI$4*100000*AI$3</f>
        <v>92421.441774491686</v>
      </c>
      <c r="AJ39" s="356">
        <f>Data!AH42/AJ$4*100000*AJ$3</f>
        <v>111395.05930148745</v>
      </c>
      <c r="AK39" s="358" t="s">
        <v>353</v>
      </c>
      <c r="AL39" s="356">
        <f t="shared" si="3"/>
        <v>1234542.3685394144</v>
      </c>
      <c r="AM39" s="356">
        <f>Data!Q42/AM$4*100000*AM$3</f>
        <v>124013.38311092737</v>
      </c>
      <c r="AN39" s="356">
        <f>Data!R42/AN$4*100000*AN$3</f>
        <v>42094.038081073115</v>
      </c>
      <c r="AO39" s="356">
        <f>Data!S42/AO$4*100000*AO$3</f>
        <v>26145.309821921393</v>
      </c>
      <c r="AP39" s="356">
        <f>Data!T42/AP$4*100000*AP$3</f>
        <v>21065.443310551447</v>
      </c>
      <c r="AQ39" s="356">
        <f>Data!U42/AQ$4*100000*AQ$3</f>
        <v>15465.661398675751</v>
      </c>
      <c r="AR39" s="356">
        <f>Data!V42/AR$4*100000*AR$3</f>
        <v>63699.973126573837</v>
      </c>
      <c r="AS39" s="356">
        <f>Data!W42/AS$4*100000*AS$3</f>
        <v>19927.155177185625</v>
      </c>
      <c r="AT39" s="356">
        <f>Data!X42/AT$4*100000*AT$3</f>
        <v>13767.941348569855</v>
      </c>
      <c r="AU39" s="356">
        <f>Data!Y42/AU$4*100000*AU$3</f>
        <v>44038.544211552777</v>
      </c>
      <c r="AV39" s="356">
        <f>Data!Z42/AV$4*100000*AV$3</f>
        <v>42428.956752770508</v>
      </c>
      <c r="AW39" s="356">
        <f>Data!AA42/AW$4*100000*AW$3</f>
        <v>85117.65150941968</v>
      </c>
      <c r="AX39" s="356">
        <f>Data!AB42/AX$4*100000*AX$3</f>
        <v>99625.367109100145</v>
      </c>
      <c r="AY39" s="356">
        <f>Data!AC42/AY$4*100000*AY$3</f>
        <v>126276.49061161744</v>
      </c>
      <c r="AZ39" s="356">
        <f>Data!AD42/AZ$4*100000*AZ$3</f>
        <v>183434.95047256336</v>
      </c>
      <c r="BA39" s="356">
        <f>Data!AE42/BA$4*100000*BA$3</f>
        <v>152161.96796145229</v>
      </c>
      <c r="BB39" s="356">
        <f>Data!AF42/BB$4*100000*BB$3</f>
        <v>73371.28399746996</v>
      </c>
      <c r="BC39" s="356">
        <f>Data!AG42/BC$4*100000*BC$3</f>
        <v>46210.720887245843</v>
      </c>
      <c r="BD39" s="356">
        <f>Data!AH42/BD$4*100000*BD$3</f>
        <v>55697.529650743723</v>
      </c>
      <c r="BE39" s="352"/>
      <c r="BF39" s="352"/>
      <c r="BG39" s="352"/>
      <c r="BH39" s="352"/>
      <c r="BI39" s="352"/>
      <c r="BJ39" s="352"/>
      <c r="BK39" s="352"/>
      <c r="BL39" s="352"/>
      <c r="BM39" s="352"/>
      <c r="BN39" s="352"/>
      <c r="BO39" s="352"/>
      <c r="BP39" s="352"/>
      <c r="BQ39" s="352"/>
      <c r="BR39" s="352"/>
      <c r="BS39" s="352"/>
      <c r="BT39" s="352"/>
      <c r="BU39" s="352"/>
      <c r="BV39" s="352"/>
      <c r="BW39" s="352"/>
    </row>
    <row r="40" spans="1:75" ht="12" customHeight="1">
      <c r="A40" s="30"/>
      <c r="B40" s="129" t="str">
        <f>UPPER(LEFT(TRIM(Data!B43),1)) &amp; MID(TRIM(Data!B43),2,50)</f>
        <v>Kiti limfinio, kraujodaros audinių</v>
      </c>
      <c r="C40" s="129" t="str">
        <f>UPPER(LEFT(TRIM(Data!C43),1)) &amp; MID(TRIM(Data!C43),2,50)</f>
        <v>C88, C96</v>
      </c>
      <c r="D40" s="130">
        <f>Data!D43</f>
        <v>5</v>
      </c>
      <c r="E40" s="131">
        <f t="shared" si="0"/>
        <v>0.37371107051778418</v>
      </c>
      <c r="F40" s="132">
        <f t="shared" si="4"/>
        <v>0.32225888317233065</v>
      </c>
      <c r="G40" s="133">
        <f t="shared" si="1"/>
        <v>0.25791874428415723</v>
      </c>
      <c r="H40" s="77"/>
      <c r="I40" s="77"/>
      <c r="J40" s="77"/>
      <c r="K40" s="77"/>
      <c r="L40" s="77"/>
      <c r="M40" s="77"/>
      <c r="N40" s="77"/>
      <c r="O40" s="58"/>
      <c r="P40" s="389"/>
      <c r="Q40" s="358" t="s">
        <v>353</v>
      </c>
      <c r="R40" s="356">
        <f t="shared" si="2"/>
        <v>32225.888317233064</v>
      </c>
      <c r="S40" s="356">
        <f>Data!Q43/S$4*100000*S$3</f>
        <v>0</v>
      </c>
      <c r="T40" s="356">
        <f>Data!R43/T$4*100000*T$3</f>
        <v>0</v>
      </c>
      <c r="U40" s="356">
        <f>Data!S43/U$4*100000*U$3</f>
        <v>0</v>
      </c>
      <c r="V40" s="356">
        <f>Data!T43/V$4*100000*V$3</f>
        <v>0</v>
      </c>
      <c r="W40" s="356">
        <f>Data!U43/W$4*100000*W$3</f>
        <v>6766.2268619206407</v>
      </c>
      <c r="X40" s="356">
        <f>Data!V43/X$4*100000*X$3</f>
        <v>0</v>
      </c>
      <c r="Y40" s="356">
        <f>Data!W43/Y$4*100000*Y$3</f>
        <v>0</v>
      </c>
      <c r="Z40" s="356">
        <f>Data!X43/Z$4*100000*Z$3</f>
        <v>0</v>
      </c>
      <c r="AA40" s="356">
        <f>Data!Y43/AA$4*100000*AA$3</f>
        <v>0</v>
      </c>
      <c r="AB40" s="356">
        <f>Data!Z43/AB$4*100000*AB$3</f>
        <v>7071.4927921284179</v>
      </c>
      <c r="AC40" s="356">
        <f>Data!AA43/AC$4*100000*AC$3</f>
        <v>0</v>
      </c>
      <c r="AD40" s="356">
        <f>Data!AB43/AD$4*100000*AD$3</f>
        <v>0</v>
      </c>
      <c r="AE40" s="356">
        <f>Data!AC43/AE$4*100000*AE$3</f>
        <v>0</v>
      </c>
      <c r="AF40" s="356">
        <f>Data!AD43/AF$4*100000*AF$3</f>
        <v>6987.9981132405092</v>
      </c>
      <c r="AG40" s="356">
        <f>Data!AE43/AG$4*100000*AG$3</f>
        <v>6340.0819983938454</v>
      </c>
      <c r="AH40" s="356">
        <f>Data!AF43/AH$4*100000*AH$3</f>
        <v>5060.0885515496529</v>
      </c>
      <c r="AI40" s="356">
        <f>Data!AG43/AI$4*100000*AI$3</f>
        <v>0</v>
      </c>
      <c r="AJ40" s="356">
        <f>Data!AH43/AJ$4*100000*AJ$3</f>
        <v>0</v>
      </c>
      <c r="AK40" s="358" t="s">
        <v>353</v>
      </c>
      <c r="AL40" s="356">
        <f t="shared" si="3"/>
        <v>25791.874428415722</v>
      </c>
      <c r="AM40" s="356">
        <f>Data!Q43/AM$4*100000*AM$3</f>
        <v>0</v>
      </c>
      <c r="AN40" s="356">
        <f>Data!R43/AN$4*100000*AN$3</f>
        <v>0</v>
      </c>
      <c r="AO40" s="356">
        <f>Data!S43/AO$4*100000*AO$3</f>
        <v>0</v>
      </c>
      <c r="AP40" s="356">
        <f>Data!T43/AP$4*100000*AP$3</f>
        <v>0</v>
      </c>
      <c r="AQ40" s="356">
        <f>Data!U43/AQ$4*100000*AQ$3</f>
        <v>7732.8306993378756</v>
      </c>
      <c r="AR40" s="356">
        <f>Data!V43/AR$4*100000*AR$3</f>
        <v>0</v>
      </c>
      <c r="AS40" s="356">
        <f>Data!W43/AS$4*100000*AS$3</f>
        <v>0</v>
      </c>
      <c r="AT40" s="356">
        <f>Data!X43/AT$4*100000*AT$3</f>
        <v>0</v>
      </c>
      <c r="AU40" s="356">
        <f>Data!Y43/AU$4*100000*AU$3</f>
        <v>0</v>
      </c>
      <c r="AV40" s="356">
        <f>Data!Z43/AV$4*100000*AV$3</f>
        <v>6061.2795361100725</v>
      </c>
      <c r="AW40" s="356">
        <f>Data!AA43/AW$4*100000*AW$3</f>
        <v>0</v>
      </c>
      <c r="AX40" s="356">
        <f>Data!AB43/AX$4*100000*AX$3</f>
        <v>0</v>
      </c>
      <c r="AY40" s="356">
        <f>Data!AC43/AY$4*100000*AY$3</f>
        <v>0</v>
      </c>
      <c r="AZ40" s="356">
        <f>Data!AD43/AZ$4*100000*AZ$3</f>
        <v>5240.9985849303821</v>
      </c>
      <c r="BA40" s="356">
        <f>Data!AE43/BA$4*100000*BA$3</f>
        <v>4226.7213322625639</v>
      </c>
      <c r="BB40" s="356">
        <f>Data!AF43/BB$4*100000*BB$3</f>
        <v>2530.0442757748265</v>
      </c>
      <c r="BC40" s="356">
        <f>Data!AG43/BC$4*100000*BC$3</f>
        <v>0</v>
      </c>
      <c r="BD40" s="356">
        <f>Data!AH43/BD$4*100000*BD$3</f>
        <v>0</v>
      </c>
      <c r="BE40" s="352"/>
      <c r="BF40" s="352"/>
      <c r="BG40" s="352"/>
      <c r="BH40" s="352"/>
      <c r="BI40" s="352"/>
      <c r="BJ40" s="352"/>
      <c r="BK40" s="352"/>
      <c r="BL40" s="352"/>
      <c r="BM40" s="352"/>
      <c r="BN40" s="352"/>
      <c r="BO40" s="352"/>
      <c r="BP40" s="352"/>
      <c r="BQ40" s="352"/>
      <c r="BR40" s="352"/>
      <c r="BS40" s="352"/>
      <c r="BT40" s="352"/>
      <c r="BU40" s="352"/>
      <c r="BV40" s="352"/>
      <c r="BW40" s="352"/>
    </row>
    <row r="41" spans="1:75" ht="24" customHeight="1">
      <c r="A41" s="30"/>
      <c r="B41" s="138"/>
      <c r="C41" s="138"/>
      <c r="D41" s="139"/>
      <c r="E41" s="140"/>
      <c r="F41" s="141"/>
      <c r="G41" s="141"/>
      <c r="H41" s="77"/>
      <c r="I41" s="77"/>
      <c r="J41" s="77"/>
      <c r="K41" s="77"/>
      <c r="L41" s="77"/>
      <c r="M41" s="77"/>
      <c r="N41" s="77"/>
      <c r="O41" s="58"/>
      <c r="P41" s="389"/>
      <c r="Q41" s="358"/>
      <c r="R41" s="356"/>
      <c r="S41" s="356"/>
      <c r="T41" s="356"/>
      <c r="U41" s="356"/>
      <c r="V41" s="356"/>
      <c r="W41" s="356"/>
      <c r="X41" s="356"/>
      <c r="Y41" s="356"/>
      <c r="Z41" s="356"/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8"/>
      <c r="AL41" s="356"/>
      <c r="AM41" s="356"/>
      <c r="AN41" s="356"/>
      <c r="AO41" s="356"/>
      <c r="AP41" s="356"/>
      <c r="AQ41" s="356"/>
      <c r="AR41" s="356"/>
      <c r="AS41" s="356"/>
      <c r="AT41" s="356"/>
      <c r="AU41" s="356"/>
      <c r="AV41" s="356"/>
      <c r="AW41" s="356"/>
      <c r="AX41" s="356"/>
      <c r="AY41" s="356"/>
      <c r="AZ41" s="356"/>
      <c r="BA41" s="356"/>
      <c r="BB41" s="356"/>
      <c r="BC41" s="356"/>
      <c r="BD41" s="356"/>
      <c r="BE41" s="352"/>
      <c r="BF41" s="352"/>
      <c r="BG41" s="352"/>
      <c r="BH41" s="352"/>
      <c r="BI41" s="352"/>
      <c r="BJ41" s="352"/>
      <c r="BK41" s="352"/>
      <c r="BL41" s="352"/>
      <c r="BM41" s="352"/>
      <c r="BN41" s="352"/>
      <c r="BO41" s="352"/>
      <c r="BP41" s="352"/>
      <c r="BQ41" s="352"/>
      <c r="BR41" s="352"/>
      <c r="BS41" s="352"/>
      <c r="BT41" s="352"/>
      <c r="BU41" s="352"/>
      <c r="BV41" s="352"/>
      <c r="BW41" s="352"/>
    </row>
    <row r="42" spans="1:75" ht="12" customHeight="1">
      <c r="A42" s="30"/>
      <c r="B42" s="129" t="str">
        <f>UPPER(LEFT(TRIM(Data!B44),1)) &amp; MID(TRIM(Data!B44),2,50)</f>
        <v>Melanoma in situ</v>
      </c>
      <c r="C42" s="129" t="str">
        <f>UPPER(LEFT(TRIM(Data!C44),1)) &amp; MID(TRIM(Data!C44),2,50)</f>
        <v>D03</v>
      </c>
      <c r="D42" s="130">
        <f>Data!D44</f>
        <v>13</v>
      </c>
      <c r="E42" s="131">
        <f t="shared" si="0"/>
        <v>0.97164878334623883</v>
      </c>
      <c r="F42" s="132">
        <f t="shared" si="4"/>
        <v>0.86814550842251925</v>
      </c>
      <c r="G42" s="133">
        <f t="shared" si="1"/>
        <v>0.65211092850502228</v>
      </c>
      <c r="H42" s="77"/>
      <c r="I42" s="77"/>
      <c r="J42" s="77"/>
      <c r="K42" s="77"/>
      <c r="L42" s="77"/>
      <c r="M42" s="77"/>
      <c r="N42" s="77"/>
      <c r="O42" s="58"/>
      <c r="P42" s="389"/>
      <c r="Q42" s="358" t="s">
        <v>353</v>
      </c>
      <c r="R42" s="356">
        <f t="shared" si="2"/>
        <v>86814.55084225192</v>
      </c>
      <c r="S42" s="356">
        <f>Data!Q44/S$4*100000*S$3</f>
        <v>0</v>
      </c>
      <c r="T42" s="356">
        <f>Data!R44/T$4*100000*T$3</f>
        <v>0</v>
      </c>
      <c r="U42" s="356">
        <f>Data!S44/U$4*100000*U$3</f>
        <v>0</v>
      </c>
      <c r="V42" s="356">
        <f>Data!T44/V$4*100000*V$3</f>
        <v>0</v>
      </c>
      <c r="W42" s="356">
        <f>Data!U44/W$4*100000*W$3</f>
        <v>0</v>
      </c>
      <c r="X42" s="356">
        <f>Data!V44/X$4*100000*X$3</f>
        <v>0</v>
      </c>
      <c r="Y42" s="356">
        <f>Data!W44/Y$4*100000*Y$3</f>
        <v>0</v>
      </c>
      <c r="Z42" s="356">
        <f>Data!X44/Z$4*100000*Z$3</f>
        <v>8031.299119999082</v>
      </c>
      <c r="AA42" s="356">
        <f>Data!Y44/AA$4*100000*AA$3</f>
        <v>7339.7573685921307</v>
      </c>
      <c r="AB42" s="356">
        <f>Data!Z44/AB$4*100000*AB$3</f>
        <v>21214.478376385254</v>
      </c>
      <c r="AC42" s="356">
        <f>Data!AA44/AC$4*100000*AC$3</f>
        <v>13240.523568131952</v>
      </c>
      <c r="AD42" s="356">
        <f>Data!AB44/AD$4*100000*AD$3</f>
        <v>6226.58544431876</v>
      </c>
      <c r="AE42" s="356">
        <f>Data!AC44/AE$4*100000*AE$3</f>
        <v>6862.8527506313831</v>
      </c>
      <c r="AF42" s="356">
        <f>Data!AD44/AF$4*100000*AF$3</f>
        <v>6987.9981132405092</v>
      </c>
      <c r="AG42" s="356">
        <f>Data!AE44/AG$4*100000*AG$3</f>
        <v>6340.0819983938454</v>
      </c>
      <c r="AH42" s="356">
        <f>Data!AF44/AH$4*100000*AH$3</f>
        <v>0</v>
      </c>
      <c r="AI42" s="356">
        <f>Data!AG44/AI$4*100000*AI$3</f>
        <v>4018.3235554126818</v>
      </c>
      <c r="AJ42" s="356">
        <f>Data!AH44/AJ$4*100000*AJ$3</f>
        <v>6552.6505471463206</v>
      </c>
      <c r="AK42" s="358" t="s">
        <v>353</v>
      </c>
      <c r="AL42" s="356">
        <f t="shared" si="3"/>
        <v>65211.092850502231</v>
      </c>
      <c r="AM42" s="356">
        <f>Data!Q44/AM$4*100000*AM$3</f>
        <v>0</v>
      </c>
      <c r="AN42" s="356">
        <f>Data!R44/AN$4*100000*AN$3</f>
        <v>0</v>
      </c>
      <c r="AO42" s="356">
        <f>Data!S44/AO$4*100000*AO$3</f>
        <v>0</v>
      </c>
      <c r="AP42" s="356">
        <f>Data!T44/AP$4*100000*AP$3</f>
        <v>0</v>
      </c>
      <c r="AQ42" s="356">
        <f>Data!U44/AQ$4*100000*AQ$3</f>
        <v>0</v>
      </c>
      <c r="AR42" s="356">
        <f>Data!V44/AR$4*100000*AR$3</f>
        <v>0</v>
      </c>
      <c r="AS42" s="356">
        <f>Data!W44/AS$4*100000*AS$3</f>
        <v>0</v>
      </c>
      <c r="AT42" s="356">
        <f>Data!X44/AT$4*100000*AT$3</f>
        <v>6883.9706742849276</v>
      </c>
      <c r="AU42" s="356">
        <f>Data!Y44/AU$4*100000*AU$3</f>
        <v>6291.2206016503978</v>
      </c>
      <c r="AV42" s="356">
        <f>Data!Z44/AV$4*100000*AV$3</f>
        <v>18183.838608330218</v>
      </c>
      <c r="AW42" s="356">
        <f>Data!AA44/AW$4*100000*AW$3</f>
        <v>9457.5168343799651</v>
      </c>
      <c r="AX42" s="356">
        <f>Data!AB44/AX$4*100000*AX$3</f>
        <v>4151.0569628791736</v>
      </c>
      <c r="AY42" s="356">
        <f>Data!AC44/AY$4*100000*AY$3</f>
        <v>5490.2822005051066</v>
      </c>
      <c r="AZ42" s="356">
        <f>Data!AD44/AZ$4*100000*AZ$3</f>
        <v>5240.9985849303821</v>
      </c>
      <c r="BA42" s="356">
        <f>Data!AE44/BA$4*100000*BA$3</f>
        <v>4226.7213322625639</v>
      </c>
      <c r="BB42" s="356">
        <f>Data!AF44/BB$4*100000*BB$3</f>
        <v>0</v>
      </c>
      <c r="BC42" s="356">
        <f>Data!AG44/BC$4*100000*BC$3</f>
        <v>2009.1617777063409</v>
      </c>
      <c r="BD42" s="356">
        <f>Data!AH44/BD$4*100000*BD$3</f>
        <v>3276.3252735731603</v>
      </c>
      <c r="BE42" s="352"/>
      <c r="BF42" s="352"/>
      <c r="BG42" s="352"/>
      <c r="BH42" s="352"/>
      <c r="BI42" s="352"/>
      <c r="BJ42" s="352"/>
      <c r="BK42" s="352"/>
      <c r="BL42" s="352"/>
      <c r="BM42" s="352"/>
      <c r="BN42" s="352"/>
      <c r="BO42" s="352"/>
      <c r="BP42" s="352"/>
      <c r="BQ42" s="352"/>
      <c r="BR42" s="352"/>
      <c r="BS42" s="352"/>
      <c r="BT42" s="352"/>
      <c r="BU42" s="352"/>
      <c r="BV42" s="352"/>
      <c r="BW42" s="352"/>
    </row>
    <row r="43" spans="1:75" ht="12" customHeight="1">
      <c r="A43" s="30"/>
      <c r="B43" s="134" t="str">
        <f>UPPER(LEFT(TRIM(Data!B45),1)) &amp; MID(TRIM(Data!B45),2,50)</f>
        <v>Krūties navikai in situ</v>
      </c>
      <c r="C43" s="134" t="str">
        <f>UPPER(LEFT(TRIM(Data!C45),1)) &amp; MID(TRIM(Data!C45),2,50)</f>
        <v>D05</v>
      </c>
      <c r="D43" s="135">
        <f>Data!D45</f>
        <v>0</v>
      </c>
      <c r="E43" s="136">
        <f t="shared" si="0"/>
        <v>0</v>
      </c>
      <c r="F43" s="137">
        <f t="shared" si="4"/>
        <v>0</v>
      </c>
      <c r="G43" s="137">
        <f t="shared" si="1"/>
        <v>0</v>
      </c>
      <c r="H43" s="77"/>
      <c r="I43" s="77"/>
      <c r="J43" s="77"/>
      <c r="K43" s="77"/>
      <c r="L43" s="77"/>
      <c r="M43" s="77"/>
      <c r="N43" s="77"/>
      <c r="O43" s="58"/>
      <c r="P43" s="389"/>
      <c r="Q43" s="358" t="s">
        <v>353</v>
      </c>
      <c r="R43" s="356">
        <f t="shared" si="2"/>
        <v>0</v>
      </c>
      <c r="S43" s="356">
        <f>Data!Q45/S$4*100000*S$3</f>
        <v>0</v>
      </c>
      <c r="T43" s="356">
        <f>Data!R45/T$4*100000*T$3</f>
        <v>0</v>
      </c>
      <c r="U43" s="356">
        <f>Data!S45/U$4*100000*U$3</f>
        <v>0</v>
      </c>
      <c r="V43" s="356">
        <f>Data!T45/V$4*100000*V$3</f>
        <v>0</v>
      </c>
      <c r="W43" s="356">
        <f>Data!U45/W$4*100000*W$3</f>
        <v>0</v>
      </c>
      <c r="X43" s="356">
        <f>Data!V45/X$4*100000*X$3</f>
        <v>0</v>
      </c>
      <c r="Y43" s="356">
        <f>Data!W45/Y$4*100000*Y$3</f>
        <v>0</v>
      </c>
      <c r="Z43" s="356">
        <f>Data!X45/Z$4*100000*Z$3</f>
        <v>0</v>
      </c>
      <c r="AA43" s="356">
        <f>Data!Y45/AA$4*100000*AA$3</f>
        <v>0</v>
      </c>
      <c r="AB43" s="356">
        <f>Data!Z45/AB$4*100000*AB$3</f>
        <v>0</v>
      </c>
      <c r="AC43" s="356">
        <f>Data!AA45/AC$4*100000*AC$3</f>
        <v>0</v>
      </c>
      <c r="AD43" s="356">
        <f>Data!AB45/AD$4*100000*AD$3</f>
        <v>0</v>
      </c>
      <c r="AE43" s="356">
        <f>Data!AC45/AE$4*100000*AE$3</f>
        <v>0</v>
      </c>
      <c r="AF43" s="356">
        <f>Data!AD45/AF$4*100000*AF$3</f>
        <v>0</v>
      </c>
      <c r="AG43" s="356">
        <f>Data!AE45/AG$4*100000*AG$3</f>
        <v>0</v>
      </c>
      <c r="AH43" s="356">
        <f>Data!AF45/AH$4*100000*AH$3</f>
        <v>0</v>
      </c>
      <c r="AI43" s="356">
        <f>Data!AG45/AI$4*100000*AI$3</f>
        <v>0</v>
      </c>
      <c r="AJ43" s="356">
        <f>Data!AH45/AJ$4*100000*AJ$3</f>
        <v>0</v>
      </c>
      <c r="AK43" s="358" t="s">
        <v>353</v>
      </c>
      <c r="AL43" s="356">
        <f t="shared" si="3"/>
        <v>0</v>
      </c>
      <c r="AM43" s="356">
        <f>Data!Q45/AM$4*100000*AM$3</f>
        <v>0</v>
      </c>
      <c r="AN43" s="356">
        <f>Data!R45/AN$4*100000*AN$3</f>
        <v>0</v>
      </c>
      <c r="AO43" s="356">
        <f>Data!S45/AO$4*100000*AO$3</f>
        <v>0</v>
      </c>
      <c r="AP43" s="356">
        <f>Data!T45/AP$4*100000*AP$3</f>
        <v>0</v>
      </c>
      <c r="AQ43" s="356">
        <f>Data!U45/AQ$4*100000*AQ$3</f>
        <v>0</v>
      </c>
      <c r="AR43" s="356">
        <f>Data!V45/AR$4*100000*AR$3</f>
        <v>0</v>
      </c>
      <c r="AS43" s="356">
        <f>Data!W45/AS$4*100000*AS$3</f>
        <v>0</v>
      </c>
      <c r="AT43" s="356">
        <f>Data!X45/AT$4*100000*AT$3</f>
        <v>0</v>
      </c>
      <c r="AU43" s="356">
        <f>Data!Y45/AU$4*100000*AU$3</f>
        <v>0</v>
      </c>
      <c r="AV43" s="356">
        <f>Data!Z45/AV$4*100000*AV$3</f>
        <v>0</v>
      </c>
      <c r="AW43" s="356">
        <f>Data!AA45/AW$4*100000*AW$3</f>
        <v>0</v>
      </c>
      <c r="AX43" s="356">
        <f>Data!AB45/AX$4*100000*AX$3</f>
        <v>0</v>
      </c>
      <c r="AY43" s="356">
        <f>Data!AC45/AY$4*100000*AY$3</f>
        <v>0</v>
      </c>
      <c r="AZ43" s="356">
        <f>Data!AD45/AZ$4*100000*AZ$3</f>
        <v>0</v>
      </c>
      <c r="BA43" s="356">
        <f>Data!AE45/BA$4*100000*BA$3</f>
        <v>0</v>
      </c>
      <c r="BB43" s="356">
        <f>Data!AF45/BB$4*100000*BB$3</f>
        <v>0</v>
      </c>
      <c r="BC43" s="356">
        <f>Data!AG45/BC$4*100000*BC$3</f>
        <v>0</v>
      </c>
      <c r="BD43" s="356">
        <f>Data!AH45/BD$4*100000*BD$3</f>
        <v>0</v>
      </c>
      <c r="BE43" s="352"/>
      <c r="BF43" s="352"/>
      <c r="BG43" s="352"/>
      <c r="BH43" s="352"/>
      <c r="BI43" s="352"/>
      <c r="BJ43" s="352"/>
      <c r="BK43" s="352"/>
      <c r="BL43" s="352"/>
      <c r="BM43" s="352"/>
      <c r="BN43" s="352"/>
      <c r="BO43" s="352"/>
      <c r="BP43" s="352"/>
      <c r="BQ43" s="352"/>
      <c r="BR43" s="352"/>
      <c r="BS43" s="352"/>
      <c r="BT43" s="352"/>
      <c r="BU43" s="352"/>
      <c r="BV43" s="352"/>
      <c r="BW43" s="352"/>
    </row>
    <row r="44" spans="1:75" ht="12" customHeight="1">
      <c r="A44" s="30"/>
      <c r="B44" s="129" t="str">
        <f>UPPER(LEFT(TRIM(Data!B47),1)) &amp; MID(TRIM(Data!B47),2,50)</f>
        <v>Šlapimo pūslės in situ</v>
      </c>
      <c r="C44" s="129" t="str">
        <f>UPPER(LEFT(TRIM(Data!C47),1)) &amp; MID(TRIM(Data!C47),2,50)</f>
        <v>D09.0</v>
      </c>
      <c r="D44" s="130">
        <f>Data!D47</f>
        <v>108</v>
      </c>
      <c r="E44" s="131">
        <f t="shared" si="0"/>
        <v>8.0721591231841376</v>
      </c>
      <c r="F44" s="132">
        <f t="shared" si="4"/>
        <v>6.7899659802942587</v>
      </c>
      <c r="G44" s="133">
        <f t="shared" si="1"/>
        <v>4.765851441946336</v>
      </c>
      <c r="H44" s="77"/>
      <c r="I44" s="77"/>
      <c r="J44" s="77"/>
      <c r="K44" s="77"/>
      <c r="L44" s="77"/>
      <c r="M44" s="77"/>
      <c r="N44" s="77"/>
      <c r="O44" s="58"/>
      <c r="P44" s="389"/>
      <c r="Q44" s="358" t="s">
        <v>353</v>
      </c>
      <c r="R44" s="356">
        <f t="shared" si="2"/>
        <v>678996.59802942583</v>
      </c>
      <c r="S44" s="356">
        <f>Data!Q47/S$4*100000*S$3</f>
        <v>0</v>
      </c>
      <c r="T44" s="356">
        <f>Data!R47/T$4*100000*T$3</f>
        <v>0</v>
      </c>
      <c r="U44" s="356">
        <f>Data!S47/U$4*100000*U$3</f>
        <v>0</v>
      </c>
      <c r="V44" s="356">
        <f>Data!T47/V$4*100000*V$3</f>
        <v>8192.1168429922291</v>
      </c>
      <c r="W44" s="356">
        <f>Data!U47/W$4*100000*W$3</f>
        <v>6766.2268619206407</v>
      </c>
      <c r="X44" s="356">
        <f>Data!V47/X$4*100000*X$3</f>
        <v>6967.1845607190135</v>
      </c>
      <c r="Y44" s="356">
        <f>Data!W47/Y$4*100000*Y$3</f>
        <v>0</v>
      </c>
      <c r="Z44" s="356">
        <f>Data!X47/Z$4*100000*Z$3</f>
        <v>0</v>
      </c>
      <c r="AA44" s="356">
        <f>Data!Y47/AA$4*100000*AA$3</f>
        <v>14679.514737184261</v>
      </c>
      <c r="AB44" s="356">
        <f>Data!Z47/AB$4*100000*AB$3</f>
        <v>14142.985584256836</v>
      </c>
      <c r="AC44" s="356">
        <f>Data!AA47/AC$4*100000*AC$3</f>
        <v>59582.356056593781</v>
      </c>
      <c r="AD44" s="356">
        <f>Data!AB47/AD$4*100000*AD$3</f>
        <v>87172.196220462632</v>
      </c>
      <c r="AE44" s="356">
        <f>Data!AC47/AE$4*100000*AE$3</f>
        <v>82354.233007576593</v>
      </c>
      <c r="AF44" s="356">
        <f>Data!AD47/AF$4*100000*AF$3</f>
        <v>174699.95283101272</v>
      </c>
      <c r="AG44" s="356">
        <f>Data!AE47/AG$4*100000*AG$3</f>
        <v>95101.229975907685</v>
      </c>
      <c r="AH44" s="356">
        <f>Data!AF47/AH$4*100000*AH$3</f>
        <v>96141.682479443392</v>
      </c>
      <c r="AI44" s="356">
        <f>Data!AG47/AI$4*100000*AI$3</f>
        <v>20091.617777063409</v>
      </c>
      <c r="AJ44" s="356">
        <f>Data!AH47/AJ$4*100000*AJ$3</f>
        <v>13105.301094292641</v>
      </c>
      <c r="AK44" s="358" t="s">
        <v>353</v>
      </c>
      <c r="AL44" s="356">
        <f t="shared" si="3"/>
        <v>476585.14419463358</v>
      </c>
      <c r="AM44" s="356">
        <f>Data!Q47/AM$4*100000*AM$3</f>
        <v>0</v>
      </c>
      <c r="AN44" s="356">
        <f>Data!R47/AN$4*100000*AN$3</f>
        <v>0</v>
      </c>
      <c r="AO44" s="356">
        <f>Data!S47/AO$4*100000*AO$3</f>
        <v>0</v>
      </c>
      <c r="AP44" s="356">
        <f>Data!T47/AP$4*100000*AP$3</f>
        <v>10532.721655275724</v>
      </c>
      <c r="AQ44" s="356">
        <f>Data!U47/AQ$4*100000*AQ$3</f>
        <v>7732.8306993378756</v>
      </c>
      <c r="AR44" s="356">
        <f>Data!V47/AR$4*100000*AR$3</f>
        <v>7962.4966408217297</v>
      </c>
      <c r="AS44" s="356">
        <f>Data!W47/AS$4*100000*AS$3</f>
        <v>0</v>
      </c>
      <c r="AT44" s="356">
        <f>Data!X47/AT$4*100000*AT$3</f>
        <v>0</v>
      </c>
      <c r="AU44" s="356">
        <f>Data!Y47/AU$4*100000*AU$3</f>
        <v>12582.441203300796</v>
      </c>
      <c r="AV44" s="356">
        <f>Data!Z47/AV$4*100000*AV$3</f>
        <v>12122.559072220145</v>
      </c>
      <c r="AW44" s="356">
        <f>Data!AA47/AW$4*100000*AW$3</f>
        <v>42558.82575470984</v>
      </c>
      <c r="AX44" s="356">
        <f>Data!AB47/AX$4*100000*AX$3</f>
        <v>58114.797480308422</v>
      </c>
      <c r="AY44" s="356">
        <f>Data!AC47/AY$4*100000*AY$3</f>
        <v>65883.386406061283</v>
      </c>
      <c r="AZ44" s="356">
        <f>Data!AD47/AZ$4*100000*AZ$3</f>
        <v>131024.96462325954</v>
      </c>
      <c r="BA44" s="356">
        <f>Data!AE47/BA$4*100000*BA$3</f>
        <v>63400.819983938454</v>
      </c>
      <c r="BB44" s="356">
        <f>Data!AF47/BB$4*100000*BB$3</f>
        <v>48070.841239721696</v>
      </c>
      <c r="BC44" s="356">
        <f>Data!AG47/BC$4*100000*BC$3</f>
        <v>10045.808888531705</v>
      </c>
      <c r="BD44" s="356">
        <f>Data!AH47/BD$4*100000*BD$3</f>
        <v>6552.6505471463206</v>
      </c>
      <c r="BE44" s="352"/>
      <c r="BF44" s="352"/>
      <c r="BG44" s="352"/>
      <c r="BH44" s="352"/>
      <c r="BI44" s="352"/>
      <c r="BJ44" s="352"/>
      <c r="BK44" s="352"/>
      <c r="BL44" s="352"/>
      <c r="BM44" s="352"/>
      <c r="BN44" s="352"/>
      <c r="BO44" s="352"/>
      <c r="BP44" s="352"/>
      <c r="BQ44" s="352"/>
      <c r="BR44" s="352"/>
      <c r="BS44" s="352"/>
      <c r="BT44" s="352"/>
      <c r="BU44" s="352"/>
      <c r="BV44" s="352"/>
      <c r="BW44" s="352"/>
    </row>
    <row r="45" spans="1:75" ht="12" customHeight="1">
      <c r="A45" s="30"/>
      <c r="B45" s="134" t="str">
        <f>UPPER(LEFT(TRIM(Data!B48),1)) &amp; MID(TRIM(Data!B48),2,50)</f>
        <v>Nervų sistemos gerybiniai navikai</v>
      </c>
      <c r="C45" s="134" t="str">
        <f>UPPER(LEFT(TRIM(Data!C48),1)) &amp; MID(TRIM(Data!C48),2,50)</f>
        <v>D32, D33</v>
      </c>
      <c r="D45" s="135">
        <f>Data!D48</f>
        <v>55</v>
      </c>
      <c r="E45" s="136">
        <f t="shared" si="0"/>
        <v>4.1108217756956256</v>
      </c>
      <c r="F45" s="137">
        <f t="shared" si="4"/>
        <v>3.5922756571409269</v>
      </c>
      <c r="G45" s="137">
        <f t="shared" si="1"/>
        <v>2.7446808909058564</v>
      </c>
      <c r="H45" s="77"/>
      <c r="I45" s="77"/>
      <c r="J45" s="77"/>
      <c r="K45" s="77"/>
      <c r="L45" s="77"/>
      <c r="M45" s="77"/>
      <c r="N45" s="77"/>
      <c r="O45" s="58"/>
      <c r="P45" s="389"/>
      <c r="Q45" s="358" t="s">
        <v>353</v>
      </c>
      <c r="R45" s="356">
        <f t="shared" si="2"/>
        <v>359227.56571409269</v>
      </c>
      <c r="S45" s="356">
        <f>Data!Q48/S$4*100000*S$3</f>
        <v>10334.448592577282</v>
      </c>
      <c r="T45" s="356">
        <f>Data!R48/T$4*100000*T$3</f>
        <v>0</v>
      </c>
      <c r="U45" s="356">
        <f>Data!S48/U$4*100000*U$3</f>
        <v>10167.620486302763</v>
      </c>
      <c r="V45" s="356">
        <f>Data!T48/V$4*100000*V$3</f>
        <v>0</v>
      </c>
      <c r="W45" s="356">
        <f>Data!U48/W$4*100000*W$3</f>
        <v>6766.2268619206407</v>
      </c>
      <c r="X45" s="356">
        <f>Data!V48/X$4*100000*X$3</f>
        <v>6967.1845607190135</v>
      </c>
      <c r="Y45" s="356">
        <f>Data!W48/Y$4*100000*Y$3</f>
        <v>15498.898471144374</v>
      </c>
      <c r="Z45" s="356">
        <f>Data!X48/Z$4*100000*Z$3</f>
        <v>16062.598239998164</v>
      </c>
      <c r="AA45" s="356">
        <f>Data!Y48/AA$4*100000*AA$3</f>
        <v>36698.786842960646</v>
      </c>
      <c r="AB45" s="356">
        <f>Data!Z48/AB$4*100000*AB$3</f>
        <v>7071.4927921284179</v>
      </c>
      <c r="AC45" s="356">
        <f>Data!AA48/AC$4*100000*AC$3</f>
        <v>46341.832488461827</v>
      </c>
      <c r="AD45" s="356">
        <f>Data!AB48/AD$4*100000*AD$3</f>
        <v>49812.68355455008</v>
      </c>
      <c r="AE45" s="356">
        <f>Data!AC48/AE$4*100000*AE$3</f>
        <v>34314.263753156913</v>
      </c>
      <c r="AF45" s="356">
        <f>Data!AD48/AF$4*100000*AF$3</f>
        <v>27951.992452962037</v>
      </c>
      <c r="AG45" s="356">
        <f>Data!AE48/AG$4*100000*AG$3</f>
        <v>31700.409991969227</v>
      </c>
      <c r="AH45" s="356">
        <f>Data!AF48/AH$4*100000*AH$3</f>
        <v>30360.531309297916</v>
      </c>
      <c r="AI45" s="356">
        <f>Data!AG48/AI$4*100000*AI$3</f>
        <v>16073.294221650727</v>
      </c>
      <c r="AJ45" s="356">
        <f>Data!AH48/AJ$4*100000*AJ$3</f>
        <v>13105.301094292641</v>
      </c>
      <c r="AK45" s="358" t="s">
        <v>353</v>
      </c>
      <c r="AL45" s="356">
        <f t="shared" si="3"/>
        <v>274468.08909058565</v>
      </c>
      <c r="AM45" s="356">
        <f>Data!Q48/AM$4*100000*AM$3</f>
        <v>15501.672888865922</v>
      </c>
      <c r="AN45" s="356">
        <f>Data!R48/AN$4*100000*AN$3</f>
        <v>0</v>
      </c>
      <c r="AO45" s="356">
        <f>Data!S48/AO$4*100000*AO$3</f>
        <v>13072.654910960697</v>
      </c>
      <c r="AP45" s="356">
        <f>Data!T48/AP$4*100000*AP$3</f>
        <v>0</v>
      </c>
      <c r="AQ45" s="356">
        <f>Data!U48/AQ$4*100000*AQ$3</f>
        <v>7732.8306993378756</v>
      </c>
      <c r="AR45" s="356">
        <f>Data!V48/AR$4*100000*AR$3</f>
        <v>7962.4966408217297</v>
      </c>
      <c r="AS45" s="356">
        <f>Data!W48/AS$4*100000*AS$3</f>
        <v>13284.77011812375</v>
      </c>
      <c r="AT45" s="356">
        <f>Data!X48/AT$4*100000*AT$3</f>
        <v>13767.941348569855</v>
      </c>
      <c r="AU45" s="356">
        <f>Data!Y48/AU$4*100000*AU$3</f>
        <v>31456.103008251983</v>
      </c>
      <c r="AV45" s="356">
        <f>Data!Z48/AV$4*100000*AV$3</f>
        <v>6061.2795361100725</v>
      </c>
      <c r="AW45" s="356">
        <f>Data!AA48/AW$4*100000*AW$3</f>
        <v>33101.308920329873</v>
      </c>
      <c r="AX45" s="356">
        <f>Data!AB48/AX$4*100000*AX$3</f>
        <v>33208.455703033389</v>
      </c>
      <c r="AY45" s="356">
        <f>Data!AC48/AY$4*100000*AY$3</f>
        <v>27451.411002525529</v>
      </c>
      <c r="AZ45" s="356">
        <f>Data!AD48/AZ$4*100000*AZ$3</f>
        <v>20963.994339721528</v>
      </c>
      <c r="BA45" s="356">
        <f>Data!AE48/BA$4*100000*BA$3</f>
        <v>21133.606661312817</v>
      </c>
      <c r="BB45" s="356">
        <f>Data!AF48/BB$4*100000*BB$3</f>
        <v>15180.265654648958</v>
      </c>
      <c r="BC45" s="356">
        <f>Data!AG48/BC$4*100000*BC$3</f>
        <v>8036.6471108253636</v>
      </c>
      <c r="BD45" s="356">
        <f>Data!AH48/BD$4*100000*BD$3</f>
        <v>6552.6505471463206</v>
      </c>
      <c r="BE45" s="352"/>
      <c r="BF45" s="352"/>
      <c r="BG45" s="352"/>
      <c r="BH45" s="352"/>
      <c r="BI45" s="352"/>
      <c r="BJ45" s="352"/>
      <c r="BK45" s="352"/>
      <c r="BL45" s="352"/>
      <c r="BM45" s="352"/>
      <c r="BN45" s="352"/>
      <c r="BO45" s="352"/>
      <c r="BP45" s="352"/>
      <c r="BQ45" s="352"/>
      <c r="BR45" s="352"/>
      <c r="BS45" s="352"/>
      <c r="BT45" s="352"/>
      <c r="BU45" s="352"/>
      <c r="BV45" s="352"/>
      <c r="BW45" s="352"/>
    </row>
    <row r="46" spans="1:75" ht="12" customHeight="1">
      <c r="A46" s="30"/>
      <c r="B46" s="129" t="str">
        <f>UPPER(LEFT(TRIM(Data!B50),1)) &amp; MID(TRIM(Data!B50),2,50)</f>
        <v>Kiti nervų sistemos</v>
      </c>
      <c r="C46" s="129" t="str">
        <f>UPPER(LEFT(TRIM(Data!C50),1)) &amp; MID(TRIM(Data!C50),2,50)</f>
        <v>D42, D43</v>
      </c>
      <c r="D46" s="130">
        <f>Data!D50</f>
        <v>19</v>
      </c>
      <c r="E46" s="131">
        <f t="shared" si="0"/>
        <v>1.4201020679675798</v>
      </c>
      <c r="F46" s="132">
        <f t="shared" si="4"/>
        <v>1.3132519765134267</v>
      </c>
      <c r="G46" s="133">
        <f t="shared" si="1"/>
        <v>1.1950448714238981</v>
      </c>
      <c r="H46" s="77"/>
      <c r="I46" s="77"/>
      <c r="J46" s="77"/>
      <c r="K46" s="77"/>
      <c r="L46" s="77"/>
      <c r="M46" s="77"/>
      <c r="N46" s="77"/>
      <c r="O46" s="58"/>
      <c r="P46" s="389"/>
      <c r="Q46" s="358" t="s">
        <v>353</v>
      </c>
      <c r="R46" s="356">
        <f t="shared" si="2"/>
        <v>131325.19765134266</v>
      </c>
      <c r="S46" s="356">
        <f>Data!Q50/S$4*100000*S$3</f>
        <v>31003.345777731847</v>
      </c>
      <c r="T46" s="356">
        <f>Data!R50/T$4*100000*T$3</f>
        <v>0</v>
      </c>
      <c r="U46" s="356">
        <f>Data!S50/U$4*100000*U$3</f>
        <v>0</v>
      </c>
      <c r="V46" s="356">
        <f>Data!T50/V$4*100000*V$3</f>
        <v>0</v>
      </c>
      <c r="W46" s="356">
        <f>Data!U50/W$4*100000*W$3</f>
        <v>0</v>
      </c>
      <c r="X46" s="356">
        <f>Data!V50/X$4*100000*X$3</f>
        <v>0</v>
      </c>
      <c r="Y46" s="356">
        <f>Data!W50/Y$4*100000*Y$3</f>
        <v>15498.898471144374</v>
      </c>
      <c r="Z46" s="356">
        <f>Data!X50/Z$4*100000*Z$3</f>
        <v>0</v>
      </c>
      <c r="AA46" s="356">
        <f>Data!Y50/AA$4*100000*AA$3</f>
        <v>14679.514737184261</v>
      </c>
      <c r="AB46" s="356">
        <f>Data!Z50/AB$4*100000*AB$3</f>
        <v>14142.985584256836</v>
      </c>
      <c r="AC46" s="356">
        <f>Data!AA50/AC$4*100000*AC$3</f>
        <v>13240.523568131952</v>
      </c>
      <c r="AD46" s="356">
        <f>Data!AB50/AD$4*100000*AD$3</f>
        <v>0</v>
      </c>
      <c r="AE46" s="356">
        <f>Data!AC50/AE$4*100000*AE$3</f>
        <v>6862.8527506313831</v>
      </c>
      <c r="AF46" s="356">
        <f>Data!AD50/AF$4*100000*AF$3</f>
        <v>0</v>
      </c>
      <c r="AG46" s="356">
        <f>Data!AE50/AG$4*100000*AG$3</f>
        <v>12680.163996787691</v>
      </c>
      <c r="AH46" s="356">
        <f>Data!AF50/AH$4*100000*AH$3</f>
        <v>15180.265654648958</v>
      </c>
      <c r="AI46" s="356">
        <f>Data!AG50/AI$4*100000*AI$3</f>
        <v>8036.6471108253636</v>
      </c>
      <c r="AJ46" s="356">
        <f>Data!AH50/AJ$4*100000*AJ$3</f>
        <v>0</v>
      </c>
      <c r="AK46" s="358" t="s">
        <v>353</v>
      </c>
      <c r="AL46" s="356">
        <f t="shared" si="3"/>
        <v>119504.48714238981</v>
      </c>
      <c r="AM46" s="356">
        <f>Data!Q50/AM$4*100000*AM$3</f>
        <v>46505.018666597774</v>
      </c>
      <c r="AN46" s="356">
        <f>Data!R50/AN$4*100000*AN$3</f>
        <v>0</v>
      </c>
      <c r="AO46" s="356">
        <f>Data!S50/AO$4*100000*AO$3</f>
        <v>0</v>
      </c>
      <c r="AP46" s="356">
        <f>Data!T50/AP$4*100000*AP$3</f>
        <v>0</v>
      </c>
      <c r="AQ46" s="356">
        <f>Data!U50/AQ$4*100000*AQ$3</f>
        <v>0</v>
      </c>
      <c r="AR46" s="356">
        <f>Data!V50/AR$4*100000*AR$3</f>
        <v>0</v>
      </c>
      <c r="AS46" s="356">
        <f>Data!W50/AS$4*100000*AS$3</f>
        <v>13284.77011812375</v>
      </c>
      <c r="AT46" s="356">
        <f>Data!X50/AT$4*100000*AT$3</f>
        <v>0</v>
      </c>
      <c r="AU46" s="356">
        <f>Data!Y50/AU$4*100000*AU$3</f>
        <v>12582.441203300796</v>
      </c>
      <c r="AV46" s="356">
        <f>Data!Z50/AV$4*100000*AV$3</f>
        <v>12122.559072220145</v>
      </c>
      <c r="AW46" s="356">
        <f>Data!AA50/AW$4*100000*AW$3</f>
        <v>9457.5168343799651</v>
      </c>
      <c r="AX46" s="356">
        <f>Data!AB50/AX$4*100000*AX$3</f>
        <v>0</v>
      </c>
      <c r="AY46" s="356">
        <f>Data!AC50/AY$4*100000*AY$3</f>
        <v>5490.2822005051066</v>
      </c>
      <c r="AZ46" s="356">
        <f>Data!AD50/AZ$4*100000*AZ$3</f>
        <v>0</v>
      </c>
      <c r="BA46" s="356">
        <f>Data!AE50/BA$4*100000*BA$3</f>
        <v>8453.4426645251278</v>
      </c>
      <c r="BB46" s="356">
        <f>Data!AF50/BB$4*100000*BB$3</f>
        <v>7590.132827324479</v>
      </c>
      <c r="BC46" s="356">
        <f>Data!AG50/BC$4*100000*BC$3</f>
        <v>4018.3235554126818</v>
      </c>
      <c r="BD46" s="356">
        <f>Data!AH50/BD$4*100000*BD$3</f>
        <v>0</v>
      </c>
      <c r="BE46" s="352"/>
      <c r="BF46" s="352"/>
      <c r="BG46" s="352"/>
      <c r="BH46" s="352"/>
      <c r="BI46" s="352"/>
      <c r="BJ46" s="352"/>
      <c r="BK46" s="352"/>
      <c r="BL46" s="352"/>
      <c r="BM46" s="352"/>
      <c r="BN46" s="352"/>
      <c r="BO46" s="352"/>
      <c r="BP46" s="352"/>
      <c r="BQ46" s="352"/>
      <c r="BR46" s="352"/>
      <c r="BS46" s="352"/>
      <c r="BT46" s="352"/>
      <c r="BU46" s="352"/>
      <c r="BV46" s="352"/>
      <c r="BW46" s="352"/>
    </row>
    <row r="47" spans="1:75" ht="12" customHeight="1">
      <c r="A47" s="30"/>
      <c r="B47" s="134" t="str">
        <f>UPPER(LEFT(TRIM(Data!B51),1)) &amp; MID(TRIM(Data!B51),2,50)</f>
        <v>Limfinio ir kraujodaros audinių</v>
      </c>
      <c r="C47" s="134" t="str">
        <f>UPPER(LEFT(TRIM(Data!C51),1)) &amp; MID(TRIM(Data!C51),2,50)</f>
        <v>D45-D47</v>
      </c>
      <c r="D47" s="135">
        <f>Data!D51</f>
        <v>171</v>
      </c>
      <c r="E47" s="136">
        <f t="shared" si="0"/>
        <v>12.78091861170822</v>
      </c>
      <c r="F47" s="137">
        <f t="shared" si="4"/>
        <v>10.327181740266488</v>
      </c>
      <c r="G47" s="137">
        <f t="shared" si="1"/>
        <v>6.8766096761520075</v>
      </c>
      <c r="H47" s="77"/>
      <c r="I47" s="77"/>
      <c r="J47" s="77"/>
      <c r="K47" s="77"/>
      <c r="L47" s="77"/>
      <c r="M47" s="77"/>
      <c r="N47" s="77"/>
      <c r="O47" s="58"/>
      <c r="P47" s="389"/>
      <c r="Q47" s="358" t="s">
        <v>353</v>
      </c>
      <c r="R47" s="356">
        <f t="shared" si="2"/>
        <v>1032718.1740266487</v>
      </c>
      <c r="S47" s="356">
        <f>Data!Q51/S$4*100000*S$3</f>
        <v>0</v>
      </c>
      <c r="T47" s="356">
        <f>Data!R51/T$4*100000*T$3</f>
        <v>9821.94221891706</v>
      </c>
      <c r="U47" s="356">
        <f>Data!S51/U$4*100000*U$3</f>
        <v>0</v>
      </c>
      <c r="V47" s="356">
        <f>Data!T51/V$4*100000*V$3</f>
        <v>0</v>
      </c>
      <c r="W47" s="356">
        <f>Data!U51/W$4*100000*W$3</f>
        <v>0</v>
      </c>
      <c r="X47" s="356">
        <f>Data!V51/X$4*100000*X$3</f>
        <v>13934.369121438027</v>
      </c>
      <c r="Y47" s="356">
        <f>Data!W51/Y$4*100000*Y$3</f>
        <v>7749.4492355721868</v>
      </c>
      <c r="Z47" s="356">
        <f>Data!X51/Z$4*100000*Z$3</f>
        <v>16062.598239998164</v>
      </c>
      <c r="AA47" s="356">
        <f>Data!Y51/AA$4*100000*AA$3</f>
        <v>22019.272105776388</v>
      </c>
      <c r="AB47" s="356">
        <f>Data!Z51/AB$4*100000*AB$3</f>
        <v>49500.449544898926</v>
      </c>
      <c r="AC47" s="356">
        <f>Data!AA51/AC$4*100000*AC$3</f>
        <v>59582.356056593781</v>
      </c>
      <c r="AD47" s="356">
        <f>Data!AB51/AD$4*100000*AD$3</f>
        <v>80945.610776143876</v>
      </c>
      <c r="AE47" s="356">
        <f>Data!AC51/AE$4*100000*AE$3</f>
        <v>109805.64401010213</v>
      </c>
      <c r="AF47" s="356">
        <f>Data!AD51/AF$4*100000*AF$3</f>
        <v>125783.96603832916</v>
      </c>
      <c r="AG47" s="356">
        <f>Data!AE51/AG$4*100000*AG$3</f>
        <v>171182.21395663384</v>
      </c>
      <c r="AH47" s="356">
        <f>Data!AF51/AH$4*100000*AH$3</f>
        <v>177103.09930423781</v>
      </c>
      <c r="AI47" s="356">
        <f>Data!AG51/AI$4*100000*AI$3</f>
        <v>84384.794663666311</v>
      </c>
      <c r="AJ47" s="356">
        <f>Data!AH51/AJ$4*100000*AJ$3</f>
        <v>104842.40875434113</v>
      </c>
      <c r="AK47" s="358" t="s">
        <v>353</v>
      </c>
      <c r="AL47" s="356">
        <f t="shared" si="3"/>
        <v>687660.96761520079</v>
      </c>
      <c r="AM47" s="356">
        <f>Data!Q51/AM$4*100000*AM$3</f>
        <v>0</v>
      </c>
      <c r="AN47" s="356">
        <f>Data!R51/AN$4*100000*AN$3</f>
        <v>14031.346027024372</v>
      </c>
      <c r="AO47" s="356">
        <f>Data!S51/AO$4*100000*AO$3</f>
        <v>0</v>
      </c>
      <c r="AP47" s="356">
        <f>Data!T51/AP$4*100000*AP$3</f>
        <v>0</v>
      </c>
      <c r="AQ47" s="356">
        <f>Data!U51/AQ$4*100000*AQ$3</f>
        <v>0</v>
      </c>
      <c r="AR47" s="356">
        <f>Data!V51/AR$4*100000*AR$3</f>
        <v>15924.993281643459</v>
      </c>
      <c r="AS47" s="356">
        <f>Data!W51/AS$4*100000*AS$3</f>
        <v>6642.3850590618749</v>
      </c>
      <c r="AT47" s="356">
        <f>Data!X51/AT$4*100000*AT$3</f>
        <v>13767.941348569855</v>
      </c>
      <c r="AU47" s="356">
        <f>Data!Y51/AU$4*100000*AU$3</f>
        <v>18873.661804951193</v>
      </c>
      <c r="AV47" s="356">
        <f>Data!Z51/AV$4*100000*AV$3</f>
        <v>42428.956752770508</v>
      </c>
      <c r="AW47" s="356">
        <f>Data!AA51/AW$4*100000*AW$3</f>
        <v>42558.82575470984</v>
      </c>
      <c r="AX47" s="356">
        <f>Data!AB51/AX$4*100000*AX$3</f>
        <v>53963.740517429251</v>
      </c>
      <c r="AY47" s="356">
        <f>Data!AC51/AY$4*100000*AY$3</f>
        <v>87844.515208081706</v>
      </c>
      <c r="AZ47" s="356">
        <f>Data!AD51/AZ$4*100000*AZ$3</f>
        <v>94337.974528746883</v>
      </c>
      <c r="BA47" s="356">
        <f>Data!AE51/BA$4*100000*BA$3</f>
        <v>114121.47597108922</v>
      </c>
      <c r="BB47" s="356">
        <f>Data!AF51/BB$4*100000*BB$3</f>
        <v>88551.549652118905</v>
      </c>
      <c r="BC47" s="356">
        <f>Data!AG51/BC$4*100000*BC$3</f>
        <v>42192.397331833155</v>
      </c>
      <c r="BD47" s="356">
        <f>Data!AH51/BD$4*100000*BD$3</f>
        <v>52421.204377170565</v>
      </c>
      <c r="BE47" s="352"/>
      <c r="BF47" s="352"/>
      <c r="BG47" s="352"/>
      <c r="BH47" s="352"/>
      <c r="BI47" s="352"/>
      <c r="BJ47" s="352"/>
      <c r="BK47" s="352"/>
      <c r="BL47" s="352"/>
      <c r="BM47" s="352"/>
      <c r="BN47" s="352"/>
      <c r="BO47" s="352"/>
      <c r="BP47" s="352"/>
      <c r="BQ47" s="352"/>
      <c r="BR47" s="352"/>
      <c r="BS47" s="352"/>
      <c r="BT47" s="352"/>
      <c r="BU47" s="352"/>
      <c r="BV47" s="352"/>
      <c r="BW47" s="352"/>
    </row>
    <row r="48" spans="1:7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58"/>
      <c r="P48" s="389"/>
      <c r="Q48" s="352"/>
      <c r="R48" s="352"/>
      <c r="S48" s="352"/>
      <c r="T48" s="352"/>
      <c r="U48" s="352"/>
      <c r="V48" s="352"/>
      <c r="W48" s="352"/>
      <c r="X48" s="352"/>
      <c r="Y48" s="352"/>
      <c r="Z48" s="352"/>
      <c r="AA48" s="352"/>
      <c r="AB48" s="352"/>
      <c r="AC48" s="352"/>
      <c r="AD48" s="352"/>
      <c r="AE48" s="352"/>
      <c r="AF48" s="352"/>
      <c r="AG48" s="352"/>
      <c r="AH48" s="352"/>
      <c r="AI48" s="352"/>
      <c r="AJ48" s="352"/>
      <c r="AK48" s="352"/>
      <c r="AL48" s="352"/>
      <c r="AM48" s="352"/>
      <c r="AN48" s="352"/>
      <c r="AO48" s="352"/>
      <c r="AP48" s="352"/>
      <c r="AQ48" s="352"/>
      <c r="AR48" s="352"/>
      <c r="AS48" s="352"/>
      <c r="AT48" s="352"/>
      <c r="AU48" s="352"/>
      <c r="AV48" s="352"/>
      <c r="AW48" s="352"/>
      <c r="AX48" s="352"/>
      <c r="AY48" s="352"/>
      <c r="AZ48" s="352"/>
      <c r="BA48" s="352"/>
      <c r="BB48" s="352"/>
      <c r="BC48" s="352"/>
      <c r="BD48" s="352"/>
      <c r="BE48" s="352"/>
      <c r="BF48" s="352"/>
      <c r="BG48" s="352"/>
      <c r="BH48" s="352"/>
      <c r="BI48" s="352"/>
      <c r="BJ48" s="352"/>
      <c r="BK48" s="352"/>
      <c r="BL48" s="352"/>
      <c r="BM48" s="352"/>
      <c r="BN48" s="352"/>
      <c r="BO48" s="352"/>
      <c r="BP48" s="352"/>
      <c r="BQ48" s="352"/>
      <c r="BR48" s="352"/>
      <c r="BS48" s="352"/>
      <c r="BT48" s="352"/>
      <c r="BU48" s="352"/>
      <c r="BV48" s="352"/>
      <c r="BW48" s="352"/>
    </row>
    <row r="49" spans="1:7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58"/>
      <c r="P49" s="389"/>
      <c r="Q49" s="352"/>
      <c r="R49" s="352"/>
      <c r="S49" s="352"/>
      <c r="T49" s="352"/>
      <c r="U49" s="352"/>
      <c r="V49" s="352"/>
      <c r="W49" s="352"/>
      <c r="X49" s="352"/>
      <c r="Y49" s="352"/>
      <c r="Z49" s="352"/>
      <c r="AA49" s="352"/>
      <c r="AB49" s="352"/>
      <c r="AC49" s="352"/>
      <c r="AD49" s="352"/>
      <c r="AE49" s="352"/>
      <c r="AF49" s="352"/>
      <c r="AG49" s="352"/>
      <c r="AH49" s="352"/>
      <c r="AI49" s="352"/>
      <c r="AJ49" s="352"/>
      <c r="AK49" s="352"/>
      <c r="AL49" s="352"/>
      <c r="AM49" s="352"/>
      <c r="AN49" s="352"/>
      <c r="AO49" s="352"/>
      <c r="AP49" s="352"/>
      <c r="AQ49" s="352"/>
      <c r="AR49" s="352"/>
      <c r="AS49" s="352"/>
      <c r="AT49" s="352"/>
      <c r="AU49" s="352"/>
      <c r="AV49" s="352"/>
      <c r="AW49" s="352"/>
      <c r="AX49" s="352"/>
      <c r="AY49" s="352"/>
      <c r="AZ49" s="352"/>
      <c r="BA49" s="352"/>
      <c r="BB49" s="352"/>
      <c r="BC49" s="352"/>
      <c r="BD49" s="352"/>
      <c r="BE49" s="352"/>
      <c r="BF49" s="352"/>
      <c r="BG49" s="352"/>
      <c r="BH49" s="352"/>
      <c r="BI49" s="352"/>
      <c r="BJ49" s="352"/>
      <c r="BK49" s="352"/>
      <c r="BL49" s="352"/>
      <c r="BM49" s="352"/>
      <c r="BN49" s="352"/>
      <c r="BO49" s="352"/>
      <c r="BP49" s="352"/>
      <c r="BQ49" s="352"/>
      <c r="BR49" s="352"/>
      <c r="BS49" s="352"/>
      <c r="BT49" s="352"/>
      <c r="BU49" s="352"/>
      <c r="BV49" s="352"/>
      <c r="BW49" s="352"/>
    </row>
    <row r="50" spans="1:7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269"/>
      <c r="P50" s="389"/>
      <c r="Q50" s="352" t="s">
        <v>408</v>
      </c>
      <c r="R50" s="356">
        <f>SUM(S50:AJ50)</f>
        <v>100000</v>
      </c>
      <c r="S50" s="357">
        <v>8000</v>
      </c>
      <c r="T50" s="357">
        <v>7000</v>
      </c>
      <c r="U50" s="357">
        <v>7000</v>
      </c>
      <c r="V50" s="357">
        <v>7000</v>
      </c>
      <c r="W50" s="357">
        <v>7000</v>
      </c>
      <c r="X50" s="357">
        <v>7000</v>
      </c>
      <c r="Y50" s="357">
        <v>7000</v>
      </c>
      <c r="Z50" s="357">
        <v>7000</v>
      </c>
      <c r="AA50" s="357">
        <v>7000</v>
      </c>
      <c r="AB50" s="357">
        <v>7000</v>
      </c>
      <c r="AC50" s="357">
        <v>7000</v>
      </c>
      <c r="AD50" s="357">
        <v>6000</v>
      </c>
      <c r="AE50" s="357">
        <v>5000</v>
      </c>
      <c r="AF50" s="357">
        <v>4000</v>
      </c>
      <c r="AG50" s="357">
        <v>3000</v>
      </c>
      <c r="AH50" s="357">
        <v>2000</v>
      </c>
      <c r="AI50" s="357">
        <v>1000</v>
      </c>
      <c r="AJ50" s="357">
        <v>1000</v>
      </c>
      <c r="AK50" s="352" t="s">
        <v>408</v>
      </c>
      <c r="AL50" s="356">
        <v>100000</v>
      </c>
      <c r="AM50" s="357">
        <v>8000</v>
      </c>
      <c r="AN50" s="357">
        <v>7000</v>
      </c>
      <c r="AO50" s="357">
        <v>7000</v>
      </c>
      <c r="AP50" s="357">
        <v>7000</v>
      </c>
      <c r="AQ50" s="357">
        <v>7000</v>
      </c>
      <c r="AR50" s="357">
        <v>7000</v>
      </c>
      <c r="AS50" s="357">
        <v>7000</v>
      </c>
      <c r="AT50" s="357">
        <v>7000</v>
      </c>
      <c r="AU50" s="357">
        <v>7000</v>
      </c>
      <c r="AV50" s="357">
        <v>7000</v>
      </c>
      <c r="AW50" s="357">
        <v>7000</v>
      </c>
      <c r="AX50" s="357">
        <v>6000</v>
      </c>
      <c r="AY50" s="357">
        <v>5000</v>
      </c>
      <c r="AZ50" s="357">
        <v>4000</v>
      </c>
      <c r="BA50" s="357">
        <v>3000</v>
      </c>
      <c r="BB50" s="357">
        <v>2000</v>
      </c>
      <c r="BC50" s="357">
        <v>1000</v>
      </c>
      <c r="BD50" s="357">
        <v>1000</v>
      </c>
      <c r="BE50" s="352"/>
      <c r="BF50" s="352"/>
      <c r="BG50" s="352"/>
      <c r="BH50" s="352"/>
      <c r="BI50" s="352"/>
      <c r="BJ50" s="352"/>
      <c r="BK50" s="352"/>
      <c r="BL50" s="352"/>
      <c r="BM50" s="352"/>
      <c r="BN50" s="352"/>
      <c r="BO50" s="352"/>
      <c r="BP50" s="352"/>
      <c r="BQ50" s="352"/>
      <c r="BR50" s="352"/>
      <c r="BS50" s="352"/>
      <c r="BT50" s="352"/>
      <c r="BU50" s="352"/>
      <c r="BV50" s="352"/>
      <c r="BW50" s="352"/>
    </row>
    <row r="51" spans="1:7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69"/>
      <c r="P51" s="389"/>
      <c r="Q51" s="352" t="s">
        <v>409</v>
      </c>
      <c r="R51" s="352">
        <v>100000</v>
      </c>
      <c r="S51" s="352">
        <v>12000</v>
      </c>
      <c r="T51" s="352">
        <v>10000</v>
      </c>
      <c r="U51" s="352">
        <v>9000</v>
      </c>
      <c r="V51" s="352">
        <v>9000</v>
      </c>
      <c r="W51" s="352">
        <v>8000</v>
      </c>
      <c r="X51" s="352">
        <v>8000</v>
      </c>
      <c r="Y51" s="352">
        <v>6000</v>
      </c>
      <c r="Z51" s="352">
        <v>6000</v>
      </c>
      <c r="AA51" s="352">
        <v>6000</v>
      </c>
      <c r="AB51" s="352">
        <v>6000</v>
      </c>
      <c r="AC51" s="352">
        <v>5000</v>
      </c>
      <c r="AD51" s="352">
        <v>4000</v>
      </c>
      <c r="AE51" s="352">
        <v>4000</v>
      </c>
      <c r="AF51" s="352">
        <v>3000</v>
      </c>
      <c r="AG51" s="352">
        <v>2000</v>
      </c>
      <c r="AH51" s="352">
        <v>1000</v>
      </c>
      <c r="AI51" s="352">
        <v>500</v>
      </c>
      <c r="AJ51" s="352">
        <v>500</v>
      </c>
      <c r="AK51" s="352" t="s">
        <v>409</v>
      </c>
      <c r="AL51" s="352">
        <v>100000</v>
      </c>
      <c r="AM51" s="352">
        <v>12000</v>
      </c>
      <c r="AN51" s="352">
        <v>10000</v>
      </c>
      <c r="AO51" s="352">
        <v>9000</v>
      </c>
      <c r="AP51" s="352">
        <v>9000</v>
      </c>
      <c r="AQ51" s="352">
        <v>8000</v>
      </c>
      <c r="AR51" s="352">
        <v>8000</v>
      </c>
      <c r="AS51" s="352">
        <v>6000</v>
      </c>
      <c r="AT51" s="352">
        <v>6000</v>
      </c>
      <c r="AU51" s="352">
        <v>6000</v>
      </c>
      <c r="AV51" s="352">
        <v>6000</v>
      </c>
      <c r="AW51" s="352">
        <v>5000</v>
      </c>
      <c r="AX51" s="352">
        <v>4000</v>
      </c>
      <c r="AY51" s="352">
        <v>4000</v>
      </c>
      <c r="AZ51" s="352">
        <v>3000</v>
      </c>
      <c r="BA51" s="352">
        <v>2000</v>
      </c>
      <c r="BB51" s="352">
        <v>1000</v>
      </c>
      <c r="BC51" s="352">
        <v>500</v>
      </c>
      <c r="BD51" s="352">
        <v>500</v>
      </c>
      <c r="BE51" s="352"/>
      <c r="BF51" s="352"/>
      <c r="BG51" s="352"/>
      <c r="BH51" s="352"/>
      <c r="BI51" s="352"/>
      <c r="BJ51" s="352"/>
      <c r="BK51" s="352"/>
      <c r="BL51" s="352"/>
      <c r="BM51" s="352"/>
      <c r="BN51" s="352"/>
      <c r="BO51" s="352"/>
      <c r="BP51" s="352"/>
      <c r="BQ51" s="352"/>
      <c r="BR51" s="352"/>
      <c r="BS51" s="352"/>
      <c r="BT51" s="352"/>
      <c r="BU51" s="352"/>
      <c r="BV51" s="352"/>
      <c r="BW51" s="352"/>
    </row>
    <row r="52" spans="1:75">
      <c r="P52" s="389"/>
      <c r="Q52" s="352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  <c r="BL52" s="352"/>
      <c r="BM52" s="352"/>
      <c r="BN52" s="352"/>
      <c r="BO52" s="352"/>
      <c r="BP52" s="352"/>
      <c r="BQ52" s="352"/>
      <c r="BR52" s="352"/>
      <c r="BS52" s="352"/>
      <c r="BT52" s="352"/>
      <c r="BU52" s="352"/>
      <c r="BV52" s="352"/>
      <c r="BW52" s="352"/>
    </row>
    <row r="53" spans="1:75">
      <c r="P53" s="389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2"/>
      <c r="AH53" s="352"/>
      <c r="AI53" s="352"/>
      <c r="AJ53" s="352"/>
      <c r="AK53" s="352"/>
      <c r="AL53" s="352"/>
      <c r="AM53" s="352"/>
      <c r="AN53" s="352"/>
      <c r="AO53" s="352"/>
      <c r="AP53" s="352"/>
      <c r="AQ53" s="352"/>
      <c r="AR53" s="352"/>
      <c r="AS53" s="352"/>
      <c r="AT53" s="352"/>
      <c r="AU53" s="352"/>
      <c r="AV53" s="352"/>
      <c r="AW53" s="352"/>
      <c r="AX53" s="352"/>
      <c r="AY53" s="352"/>
      <c r="AZ53" s="352"/>
      <c r="BA53" s="352"/>
      <c r="BB53" s="352"/>
      <c r="BC53" s="352"/>
      <c r="BD53" s="352"/>
      <c r="BE53" s="352"/>
      <c r="BF53" s="352"/>
      <c r="BG53" s="352"/>
      <c r="BH53" s="352"/>
      <c r="BI53" s="352"/>
      <c r="BJ53" s="352"/>
      <c r="BK53" s="352"/>
      <c r="BL53" s="352"/>
      <c r="BM53" s="352"/>
      <c r="BN53" s="352"/>
      <c r="BO53" s="352"/>
      <c r="BP53" s="352"/>
      <c r="BQ53" s="352"/>
      <c r="BR53" s="352"/>
      <c r="BS53" s="352"/>
      <c r="BT53" s="352"/>
      <c r="BU53" s="352"/>
      <c r="BV53" s="352"/>
      <c r="BW53" s="352"/>
    </row>
    <row r="54" spans="1:75">
      <c r="P54" s="389"/>
      <c r="Q54" s="352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  <c r="BL54" s="352"/>
      <c r="BM54" s="352"/>
      <c r="BN54" s="352"/>
      <c r="BO54" s="352"/>
      <c r="BP54" s="352"/>
      <c r="BQ54" s="352"/>
      <c r="BR54" s="352"/>
      <c r="BS54" s="352"/>
      <c r="BT54" s="352"/>
      <c r="BU54" s="352"/>
      <c r="BV54" s="352"/>
      <c r="BW54" s="352"/>
    </row>
    <row r="55" spans="1:75">
      <c r="P55" s="389"/>
      <c r="Q55" s="352"/>
      <c r="R55" s="352"/>
      <c r="S55" s="352"/>
      <c r="T55" s="352"/>
      <c r="U55" s="352"/>
      <c r="V55" s="352"/>
      <c r="W55" s="352"/>
      <c r="X55" s="352"/>
      <c r="Y55" s="352"/>
      <c r="Z55" s="352"/>
      <c r="AA55" s="352"/>
      <c r="AB55" s="352"/>
      <c r="AC55" s="352"/>
      <c r="AD55" s="352"/>
      <c r="AE55" s="352"/>
      <c r="AF55" s="352"/>
      <c r="AG55" s="352"/>
      <c r="AH55" s="352"/>
      <c r="AI55" s="352"/>
      <c r="AJ55" s="352"/>
      <c r="AK55" s="352"/>
      <c r="AL55" s="352"/>
      <c r="AM55" s="352"/>
      <c r="AN55" s="352"/>
      <c r="AO55" s="352"/>
      <c r="AP55" s="352"/>
      <c r="AQ55" s="352"/>
      <c r="AR55" s="352"/>
      <c r="AS55" s="352"/>
      <c r="AT55" s="352"/>
      <c r="AU55" s="352"/>
      <c r="AV55" s="352"/>
      <c r="AW55" s="352"/>
      <c r="AX55" s="352"/>
      <c r="AY55" s="352"/>
      <c r="AZ55" s="352"/>
      <c r="BA55" s="352"/>
      <c r="BB55" s="352"/>
      <c r="BC55" s="352"/>
      <c r="BD55" s="352"/>
      <c r="BE55" s="352"/>
      <c r="BF55" s="352"/>
      <c r="BG55" s="352"/>
      <c r="BH55" s="352"/>
      <c r="BI55" s="352"/>
      <c r="BJ55" s="352"/>
      <c r="BK55" s="352"/>
      <c r="BL55" s="352"/>
      <c r="BM55" s="352"/>
      <c r="BN55" s="352"/>
      <c r="BO55" s="352"/>
      <c r="BP55" s="352"/>
      <c r="BQ55" s="352"/>
      <c r="BR55" s="352"/>
      <c r="BS55" s="352"/>
      <c r="BT55" s="352"/>
      <c r="BU55" s="352"/>
      <c r="BV55" s="352"/>
      <c r="BW55" s="352"/>
    </row>
  </sheetData>
  <mergeCells count="8">
    <mergeCell ref="AK1:AK2"/>
    <mergeCell ref="B1:D1"/>
    <mergeCell ref="Q1:Q2"/>
    <mergeCell ref="B4:B5"/>
    <mergeCell ref="C4:C5"/>
    <mergeCell ref="D4:D5"/>
    <mergeCell ref="E4:E5"/>
    <mergeCell ref="F4:G4"/>
  </mergeCells>
  <pageMargins left="0.59055118110236215" right="0.62992125984251968" top="1.5748031496062993" bottom="1.9685039370078741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 tint="0.39997558519241921"/>
  </sheetPr>
  <dimension ref="A1:BK65"/>
  <sheetViews>
    <sheetView workbookViewId="0">
      <selection activeCell="Q11" sqref="Q11"/>
    </sheetView>
  </sheetViews>
  <sheetFormatPr defaultRowHeight="12.75"/>
  <cols>
    <col min="1" max="1" width="1.710937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style="56" customWidth="1"/>
    <col min="9" max="15" width="0.85546875" style="76" customWidth="1"/>
    <col min="16" max="16" width="9.42578125" style="56" customWidth="1"/>
    <col min="17" max="17" width="38.42578125" bestFit="1" customWidth="1"/>
    <col min="18" max="18" width="9.140625" bestFit="1" customWidth="1"/>
    <col min="19" max="23" width="7.140625" bestFit="1" customWidth="1"/>
    <col min="24" max="24" width="8" bestFit="1" customWidth="1"/>
    <col min="25" max="30" width="8.140625" bestFit="1" customWidth="1"/>
    <col min="31" max="33" width="9.140625" bestFit="1" customWidth="1"/>
    <col min="34" max="36" width="8.140625" bestFit="1" customWidth="1"/>
    <col min="37" max="37" width="38.42578125" bestFit="1" customWidth="1"/>
    <col min="38" max="56" width="9.28515625" bestFit="1" customWidth="1"/>
  </cols>
  <sheetData>
    <row r="1" spans="1:63" ht="15">
      <c r="A1" s="69"/>
      <c r="B1" s="519" t="s">
        <v>402</v>
      </c>
      <c r="C1" s="519"/>
      <c r="D1" s="519"/>
      <c r="E1" s="71"/>
      <c r="F1" s="67"/>
      <c r="G1" s="67"/>
      <c r="H1" s="72"/>
      <c r="I1" s="72"/>
      <c r="J1" s="72"/>
      <c r="K1" s="72"/>
      <c r="L1" s="72"/>
      <c r="M1" s="72"/>
      <c r="N1" s="72"/>
      <c r="O1" s="72"/>
      <c r="P1" s="269"/>
      <c r="Q1" s="523" t="s">
        <v>414</v>
      </c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2"/>
      <c r="BF1" s="392"/>
      <c r="BG1" s="392"/>
      <c r="BH1" s="392"/>
      <c r="BI1" s="392"/>
      <c r="BJ1" s="392"/>
      <c r="BK1" s="392"/>
    </row>
    <row r="2" spans="1:63" ht="12.75" customHeight="1">
      <c r="A2" s="67"/>
      <c r="B2" s="68" t="str">
        <f>"Diagnozuotų onkologinių susirgimų skaičius ir sergamumo rodikliai Lietuvoje  " &amp; GrafikaiSerg!A1 &amp; " metais. Moterys"</f>
        <v>Diagnozuotų onkologinių susirgimų skaičius ir sergamumo rodikliai Lietuvoje  2015 metais. Moterys</v>
      </c>
      <c r="C2" s="69"/>
      <c r="D2" s="67"/>
      <c r="E2" s="70"/>
      <c r="F2" s="67"/>
      <c r="G2" s="67"/>
      <c r="H2" s="72"/>
      <c r="I2" s="72"/>
      <c r="J2" s="72"/>
      <c r="K2" s="72"/>
      <c r="L2" s="72"/>
      <c r="M2" s="72"/>
      <c r="N2" s="72"/>
      <c r="O2" s="72"/>
      <c r="P2" s="269"/>
      <c r="Q2" s="523"/>
      <c r="R2" s="393" t="s">
        <v>354</v>
      </c>
      <c r="S2" s="520" t="s">
        <v>358</v>
      </c>
      <c r="T2" s="520"/>
      <c r="U2" s="520"/>
      <c r="V2" s="394">
        <f>GrafikaiSerg!A1</f>
        <v>2015</v>
      </c>
      <c r="W2" s="391" t="s">
        <v>357</v>
      </c>
      <c r="X2" s="391" t="str">
        <f>CONCATENATE("pop",RIGHT(V2,2),"m")</f>
        <v>pop15m</v>
      </c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5" t="s">
        <v>415</v>
      </c>
      <c r="AL2" s="393" t="s">
        <v>354</v>
      </c>
      <c r="AM2" s="520" t="s">
        <v>358</v>
      </c>
      <c r="AN2" s="520"/>
      <c r="AO2" s="520"/>
      <c r="AP2" s="394" t="e">
        <f>#REF!</f>
        <v>#REF!</v>
      </c>
      <c r="AQ2" s="391" t="s">
        <v>357</v>
      </c>
      <c r="AR2" s="391" t="e">
        <f>CONCATENATE("pop",RIGHT(AP2,2),"m")</f>
        <v>#REF!</v>
      </c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2"/>
      <c r="BF2" s="392"/>
      <c r="BG2" s="392"/>
      <c r="BH2" s="392"/>
      <c r="BI2" s="392"/>
      <c r="BJ2" s="392"/>
      <c r="BK2" s="392"/>
    </row>
    <row r="3" spans="1:63" ht="12.75" customHeight="1">
      <c r="A3" s="67"/>
      <c r="B3" s="67"/>
      <c r="C3" s="67"/>
      <c r="D3" s="67"/>
      <c r="E3" s="67"/>
      <c r="F3" s="69"/>
      <c r="G3" s="69"/>
      <c r="H3" s="72"/>
      <c r="I3" s="72"/>
      <c r="J3" s="72"/>
      <c r="K3" s="72"/>
      <c r="L3" s="72"/>
      <c r="M3" s="72"/>
      <c r="N3" s="72"/>
      <c r="O3" s="72"/>
      <c r="P3" s="270"/>
      <c r="Q3" s="396" t="s">
        <v>408</v>
      </c>
      <c r="R3" s="397">
        <f>SUM(S3:AJ3)</f>
        <v>100000</v>
      </c>
      <c r="S3" s="398">
        <v>8000</v>
      </c>
      <c r="T3" s="398">
        <v>7000</v>
      </c>
      <c r="U3" s="398">
        <v>7000</v>
      </c>
      <c r="V3" s="398">
        <v>7000</v>
      </c>
      <c r="W3" s="398">
        <v>7000</v>
      </c>
      <c r="X3" s="398">
        <v>7000</v>
      </c>
      <c r="Y3" s="398">
        <v>7000</v>
      </c>
      <c r="Z3" s="398">
        <v>7000</v>
      </c>
      <c r="AA3" s="398">
        <v>7000</v>
      </c>
      <c r="AB3" s="398">
        <v>7000</v>
      </c>
      <c r="AC3" s="398">
        <v>7000</v>
      </c>
      <c r="AD3" s="398">
        <v>6000</v>
      </c>
      <c r="AE3" s="398">
        <v>5000</v>
      </c>
      <c r="AF3" s="398">
        <v>4000</v>
      </c>
      <c r="AG3" s="398">
        <v>3000</v>
      </c>
      <c r="AH3" s="398">
        <v>2000</v>
      </c>
      <c r="AI3" s="398">
        <v>1000</v>
      </c>
      <c r="AJ3" s="398">
        <v>1000</v>
      </c>
      <c r="AK3" s="396" t="s">
        <v>409</v>
      </c>
      <c r="AL3" s="397">
        <f>SUM(AM3:BD3)</f>
        <v>100000</v>
      </c>
      <c r="AM3" s="391">
        <v>12000</v>
      </c>
      <c r="AN3" s="391">
        <v>10000</v>
      </c>
      <c r="AO3" s="391">
        <v>9000</v>
      </c>
      <c r="AP3" s="391">
        <v>9000</v>
      </c>
      <c r="AQ3" s="391">
        <v>8000</v>
      </c>
      <c r="AR3" s="391">
        <v>8000</v>
      </c>
      <c r="AS3" s="391">
        <v>6000</v>
      </c>
      <c r="AT3" s="391">
        <v>6000</v>
      </c>
      <c r="AU3" s="391">
        <v>6000</v>
      </c>
      <c r="AV3" s="391">
        <v>6000</v>
      </c>
      <c r="AW3" s="391">
        <v>5000</v>
      </c>
      <c r="AX3" s="391">
        <v>4000</v>
      </c>
      <c r="AY3" s="391">
        <v>4000</v>
      </c>
      <c r="AZ3" s="391">
        <v>3000</v>
      </c>
      <c r="BA3" s="391">
        <v>2000</v>
      </c>
      <c r="BB3" s="391">
        <v>1000</v>
      </c>
      <c r="BC3" s="391">
        <v>500</v>
      </c>
      <c r="BD3" s="391">
        <v>500</v>
      </c>
      <c r="BE3" s="392"/>
      <c r="BF3" s="392"/>
      <c r="BG3" s="392"/>
      <c r="BH3" s="392"/>
      <c r="BI3" s="392"/>
      <c r="BJ3" s="392"/>
      <c r="BK3" s="392"/>
    </row>
    <row r="4" spans="1:63" ht="12.95" customHeight="1">
      <c r="A4" s="67"/>
      <c r="B4" s="509" t="s">
        <v>351</v>
      </c>
      <c r="C4" s="509" t="s">
        <v>244</v>
      </c>
      <c r="D4" s="513" t="s">
        <v>268</v>
      </c>
      <c r="E4" s="515" t="s">
        <v>355</v>
      </c>
      <c r="F4" s="521" t="s">
        <v>359</v>
      </c>
      <c r="G4" s="522"/>
      <c r="H4" s="72"/>
      <c r="I4" s="72"/>
      <c r="J4" s="72"/>
      <c r="K4" s="72"/>
      <c r="L4" s="72"/>
      <c r="M4" s="72"/>
      <c r="N4" s="72"/>
      <c r="O4" s="72"/>
      <c r="P4" s="271"/>
      <c r="Q4" s="391" t="s">
        <v>450</v>
      </c>
      <c r="R4" s="397">
        <f>SUM(S4:AJ4)</f>
        <v>1566978</v>
      </c>
      <c r="S4" s="399">
        <f>HLOOKUP($X$2,Populiacija!$B$1:$BB$40,23,FALSE)</f>
        <v>73573</v>
      </c>
      <c r="T4" s="399">
        <f>HLOOKUP($X$2,Populiacija!$B$1:$BB$40,24,FALSE)</f>
        <v>68112</v>
      </c>
      <c r="U4" s="399">
        <f>HLOOKUP($X$2,Populiacija!$B$1:$BB$40,25,FALSE)</f>
        <v>65394</v>
      </c>
      <c r="V4" s="399">
        <f>HLOOKUP($X$2,Populiacija!$B$1:$BB$40,26,FALSE)</f>
        <v>80822</v>
      </c>
      <c r="W4" s="399">
        <f>HLOOKUP($X$2,Populiacija!$B$1:$BB$40,27,FALSE)</f>
        <v>98060</v>
      </c>
      <c r="X4" s="399">
        <f>HLOOKUP($X$2,Populiacija!$B$1:$BB$40,28,FALSE)</f>
        <v>95144</v>
      </c>
      <c r="Y4" s="399">
        <f>HLOOKUP($X$2,Populiacija!$B$1:$BB$40,29,FALSE)</f>
        <v>87782</v>
      </c>
      <c r="Z4" s="399">
        <f>HLOOKUP($X$2,Populiacija!$B$1:$BB$40,30,FALSE)</f>
        <v>89193</v>
      </c>
      <c r="AA4" s="399">
        <f>HLOOKUP($X$2,Populiacija!$B$1:$BB$40,31,FALSE)</f>
        <v>102361</v>
      </c>
      <c r="AB4" s="399">
        <f>HLOOKUP($X$2,Populiacija!$B$1:$BB$40,32,FALSE)</f>
        <v>108831</v>
      </c>
      <c r="AC4" s="399">
        <f>HLOOKUP($X$2,Populiacija!$B$1:$BB$40,33,FALSE)</f>
        <v>119456</v>
      </c>
      <c r="AD4" s="399">
        <f>HLOOKUP($X$2,Populiacija!$B$1:$BB$40,34,FALSE)</f>
        <v>116878</v>
      </c>
      <c r="AE4" s="399">
        <f>HLOOKUP($X$2,Populiacija!$B$1:$BB$40,35,FALSE)</f>
        <v>97783</v>
      </c>
      <c r="AF4" s="399">
        <f>HLOOKUP($X$2,Populiacija!$B$1:$BB$40,36,FALSE)</f>
        <v>88018</v>
      </c>
      <c r="AG4" s="399">
        <f>HLOOKUP($X$2,Populiacija!$B$1:$BB$40,37,FALSE)</f>
        <v>84213</v>
      </c>
      <c r="AH4" s="399">
        <f>HLOOKUP($X$2,Populiacija!$B$1:$BB$40,38,FALSE)</f>
        <v>81014</v>
      </c>
      <c r="AI4" s="399">
        <f>HLOOKUP($X$2,Populiacija!$B$1:$BB$40,39,FALSE)</f>
        <v>61046</v>
      </c>
      <c r="AJ4" s="399">
        <f>HLOOKUP($X$2,Populiacija!$B$1:$BB$40,40,FALSE)</f>
        <v>49298</v>
      </c>
      <c r="AK4" s="391" t="s">
        <v>450</v>
      </c>
      <c r="AL4" s="397">
        <f>SUM(AM4:BD4)</f>
        <v>1566978</v>
      </c>
      <c r="AM4" s="399">
        <f>HLOOKUP($X$2,Populiacija!$B$1:$BB$40,23,FALSE)</f>
        <v>73573</v>
      </c>
      <c r="AN4" s="399">
        <f>HLOOKUP($X$2,Populiacija!$B$1:$BB$40,24,FALSE)</f>
        <v>68112</v>
      </c>
      <c r="AO4" s="399">
        <f>HLOOKUP($X$2,Populiacija!$B$1:$BB$40,25,FALSE)</f>
        <v>65394</v>
      </c>
      <c r="AP4" s="399">
        <f>HLOOKUP($X$2,Populiacija!$B$1:$BB$40,26,FALSE)</f>
        <v>80822</v>
      </c>
      <c r="AQ4" s="399">
        <f>HLOOKUP($X$2,Populiacija!$B$1:$BB$40,27,FALSE)</f>
        <v>98060</v>
      </c>
      <c r="AR4" s="399">
        <f>HLOOKUP($X$2,Populiacija!$B$1:$BB$40,28,FALSE)</f>
        <v>95144</v>
      </c>
      <c r="AS4" s="399">
        <f>HLOOKUP($X$2,Populiacija!$B$1:$BB$40,29,FALSE)</f>
        <v>87782</v>
      </c>
      <c r="AT4" s="399">
        <f>HLOOKUP($X$2,Populiacija!$B$1:$BB$40,30,FALSE)</f>
        <v>89193</v>
      </c>
      <c r="AU4" s="399">
        <f>HLOOKUP($X$2,Populiacija!$B$1:$BB$40,31,FALSE)</f>
        <v>102361</v>
      </c>
      <c r="AV4" s="399">
        <f>HLOOKUP($X$2,Populiacija!$B$1:$BB$40,32,FALSE)</f>
        <v>108831</v>
      </c>
      <c r="AW4" s="399">
        <f>HLOOKUP($X$2,Populiacija!$B$1:$BB$40,33,FALSE)</f>
        <v>119456</v>
      </c>
      <c r="AX4" s="399">
        <f>HLOOKUP($X$2,Populiacija!$B$1:$BB$40,34,FALSE)</f>
        <v>116878</v>
      </c>
      <c r="AY4" s="399">
        <f>HLOOKUP($X$2,Populiacija!$B$1:$BB$40,35,FALSE)</f>
        <v>97783</v>
      </c>
      <c r="AZ4" s="399">
        <f>HLOOKUP($X$2,Populiacija!$B$1:$BB$40,36,FALSE)</f>
        <v>88018</v>
      </c>
      <c r="BA4" s="399">
        <f>HLOOKUP($X$2,Populiacija!$B$1:$BB$40,37,FALSE)</f>
        <v>84213</v>
      </c>
      <c r="BB4" s="399">
        <f>HLOOKUP($X$2,Populiacija!$B$1:$BB$40,38,FALSE)</f>
        <v>81014</v>
      </c>
      <c r="BC4" s="399">
        <f>HLOOKUP($X$2,Populiacija!$B$1:$BB$40,39,FALSE)</f>
        <v>61046</v>
      </c>
      <c r="BD4" s="399">
        <f>HLOOKUP($X$2,Populiacija!$B$1:$BB$40,40,FALSE)</f>
        <v>49298</v>
      </c>
      <c r="BE4" s="392"/>
      <c r="BF4" s="392"/>
      <c r="BG4" s="392"/>
      <c r="BH4" s="392"/>
      <c r="BI4" s="392"/>
      <c r="BJ4" s="392"/>
      <c r="BK4" s="392"/>
    </row>
    <row r="5" spans="1:63" ht="12.95" customHeight="1" thickBot="1">
      <c r="A5" s="67"/>
      <c r="B5" s="510"/>
      <c r="C5" s="510"/>
      <c r="D5" s="514"/>
      <c r="E5" s="516"/>
      <c r="F5" s="282" t="s">
        <v>425</v>
      </c>
      <c r="G5" s="282" t="s">
        <v>426</v>
      </c>
      <c r="H5" s="73"/>
      <c r="I5" s="73"/>
      <c r="J5" s="73"/>
      <c r="K5" s="73"/>
      <c r="L5" s="73"/>
      <c r="M5" s="73"/>
      <c r="N5" s="73"/>
      <c r="O5" s="73"/>
      <c r="P5" s="272"/>
      <c r="Q5" s="391" t="s">
        <v>352</v>
      </c>
      <c r="R5" s="393"/>
      <c r="S5" s="400" t="s">
        <v>13</v>
      </c>
      <c r="T5" s="401" t="s">
        <v>11</v>
      </c>
      <c r="U5" s="401" t="s">
        <v>12</v>
      </c>
      <c r="V5" s="400" t="s">
        <v>14</v>
      </c>
      <c r="W5" s="400" t="s">
        <v>15</v>
      </c>
      <c r="X5" s="400" t="s">
        <v>16</v>
      </c>
      <c r="Y5" s="400" t="s">
        <v>158</v>
      </c>
      <c r="Z5" s="400" t="s">
        <v>17</v>
      </c>
      <c r="AA5" s="400" t="s">
        <v>18</v>
      </c>
      <c r="AB5" s="400" t="s">
        <v>19</v>
      </c>
      <c r="AC5" s="400" t="s">
        <v>20</v>
      </c>
      <c r="AD5" s="400" t="s">
        <v>21</v>
      </c>
      <c r="AE5" s="400" t="s">
        <v>159</v>
      </c>
      <c r="AF5" s="400" t="s">
        <v>160</v>
      </c>
      <c r="AG5" s="400" t="s">
        <v>161</v>
      </c>
      <c r="AH5" s="400" t="s">
        <v>162</v>
      </c>
      <c r="AI5" s="400" t="s">
        <v>22</v>
      </c>
      <c r="AJ5" s="400" t="s">
        <v>23</v>
      </c>
      <c r="AK5" s="391" t="s">
        <v>352</v>
      </c>
      <c r="AL5" s="393"/>
      <c r="AM5" s="400" t="s">
        <v>13</v>
      </c>
      <c r="AN5" s="401" t="s">
        <v>11</v>
      </c>
      <c r="AO5" s="401" t="s">
        <v>12</v>
      </c>
      <c r="AP5" s="400" t="s">
        <v>14</v>
      </c>
      <c r="AQ5" s="400" t="s">
        <v>15</v>
      </c>
      <c r="AR5" s="400" t="s">
        <v>16</v>
      </c>
      <c r="AS5" s="400" t="s">
        <v>158</v>
      </c>
      <c r="AT5" s="400" t="s">
        <v>17</v>
      </c>
      <c r="AU5" s="400" t="s">
        <v>18</v>
      </c>
      <c r="AV5" s="400" t="s">
        <v>19</v>
      </c>
      <c r="AW5" s="400" t="s">
        <v>20</v>
      </c>
      <c r="AX5" s="400" t="s">
        <v>21</v>
      </c>
      <c r="AY5" s="400" t="s">
        <v>159</v>
      </c>
      <c r="AZ5" s="400" t="s">
        <v>160</v>
      </c>
      <c r="BA5" s="400" t="s">
        <v>161</v>
      </c>
      <c r="BB5" s="400" t="s">
        <v>162</v>
      </c>
      <c r="BC5" s="400" t="s">
        <v>22</v>
      </c>
      <c r="BD5" s="400" t="s">
        <v>23</v>
      </c>
      <c r="BE5" s="392"/>
      <c r="BF5" s="392"/>
      <c r="BG5" s="392"/>
      <c r="BH5" s="392"/>
      <c r="BI5" s="392"/>
      <c r="BJ5" s="392"/>
      <c r="BK5" s="392"/>
    </row>
    <row r="6" spans="1:63" ht="12" customHeight="1" thickTop="1">
      <c r="A6" s="67"/>
      <c r="B6" s="150" t="str">
        <f>UPPER(LEFT(TRIM(Data!B5),1)) &amp; MID(TRIM(Data!B5),2,50)</f>
        <v>Piktybiniai navikai</v>
      </c>
      <c r="C6" s="129" t="str">
        <f>UPPER(LEFT(TRIM(Data!C5),1)) &amp; MID(TRIM(Data!C5),2,50)</f>
        <v>C00-C96</v>
      </c>
      <c r="D6" s="130">
        <f>Data!BQ5</f>
        <v>8389</v>
      </c>
      <c r="E6" s="131">
        <f t="shared" ref="E6:E7" si="0">D6/$R$4*100000</f>
        <v>535.36169620760472</v>
      </c>
      <c r="F6" s="132">
        <f>R6/$R$3</f>
        <v>347.96442846472286</v>
      </c>
      <c r="G6" s="132">
        <f t="shared" ref="G6:G7" si="1">AL6/$AL$3</f>
        <v>253.13798319558487</v>
      </c>
      <c r="H6" s="73"/>
      <c r="I6" s="73"/>
      <c r="J6" s="73"/>
      <c r="K6" s="73"/>
      <c r="L6" s="73"/>
      <c r="M6" s="73"/>
      <c r="N6" s="73"/>
      <c r="O6" s="73"/>
      <c r="P6" s="273"/>
      <c r="Q6" s="402" t="s">
        <v>353</v>
      </c>
      <c r="R6" s="397">
        <f t="shared" ref="R6:R51" si="2">SUM(S6:AJ6)</f>
        <v>34796442.846472286</v>
      </c>
      <c r="S6" s="397">
        <f>Data!CD5/S$4*100000*S$3</f>
        <v>86988.433256765391</v>
      </c>
      <c r="T6" s="397">
        <f>Data!CE5/T$4*100000*T$3</f>
        <v>133603.47662673244</v>
      </c>
      <c r="U6" s="397">
        <f>Data!CF5/U$4*100000*U$3</f>
        <v>74930.421751230999</v>
      </c>
      <c r="V6" s="397">
        <f>Data!CG5/V$4*100000*V$3</f>
        <v>164559.1546856054</v>
      </c>
      <c r="W6" s="397">
        <f>Data!CH5/W$4*100000*W$3</f>
        <v>221293.08586579643</v>
      </c>
      <c r="X6" s="397">
        <f>Data!CI5/X$4*100000*X$3</f>
        <v>441436.13890523842</v>
      </c>
      <c r="Y6" s="397">
        <f>Data!CJ5/Y$4*100000*Y$3</f>
        <v>813378.59697887942</v>
      </c>
      <c r="Z6" s="397">
        <f>Data!CK5/Z$4*100000*Z$3</f>
        <v>1349881.7171751147</v>
      </c>
      <c r="AA6" s="397">
        <f>Data!CL5/AA$4*100000*AA$3</f>
        <v>1907953.2243725637</v>
      </c>
      <c r="AB6" s="397">
        <f>Data!CM5/AB$4*100000*AB$3</f>
        <v>2740028.1169887255</v>
      </c>
      <c r="AC6" s="397">
        <f>Data!CN5/AC$4*100000*AC$3</f>
        <v>4049189.6597910528</v>
      </c>
      <c r="AD6" s="397">
        <f>Data!CO5/AD$4*100000*AD$3</f>
        <v>4204384.0585910091</v>
      </c>
      <c r="AE6" s="397">
        <f>Data!CP5/AE$4*100000*AE$3</f>
        <v>4489532.9453995069</v>
      </c>
      <c r="AF6" s="397">
        <f>Data!CQ5/AF$4*100000*AF$3</f>
        <v>4480901.6337567316</v>
      </c>
      <c r="AG6" s="397">
        <f>Data!CR5/AG$4*100000*AG$3</f>
        <v>3733390.3316590078</v>
      </c>
      <c r="AH6" s="397">
        <f>Data!CS5/AH$4*100000*AH$3</f>
        <v>2787172.58745402</v>
      </c>
      <c r="AI6" s="397">
        <f>Data!CT5/AI$4*100000*AI$3</f>
        <v>1566032.172460112</v>
      </c>
      <c r="AJ6" s="397">
        <f>Data!CU5/AJ$4*100000*AJ$3</f>
        <v>1551787.0907541888</v>
      </c>
      <c r="AK6" s="402" t="s">
        <v>353</v>
      </c>
      <c r="AL6" s="397">
        <f t="shared" ref="AL6:AL51" si="3">SUM(AM6:BD6)</f>
        <v>25313798.319558486</v>
      </c>
      <c r="AM6" s="397">
        <f>Data!CD5/AM$4*100000*AM$3</f>
        <v>130482.64988514809</v>
      </c>
      <c r="AN6" s="397">
        <f>Data!CE5/AN$4*100000*AN$3</f>
        <v>190862.10946676065</v>
      </c>
      <c r="AO6" s="397">
        <f>Data!CF5/AO$4*100000*AO$3</f>
        <v>96339.113680154143</v>
      </c>
      <c r="AP6" s="397">
        <f>Data!CG5/AP$4*100000*AP$3</f>
        <v>211576.05602434982</v>
      </c>
      <c r="AQ6" s="397">
        <f>Data!CH5/AQ$4*100000*AQ$3</f>
        <v>252906.38384662449</v>
      </c>
      <c r="AR6" s="397">
        <f>Data!CI5/AR$4*100000*AR$3</f>
        <v>504498.44446312962</v>
      </c>
      <c r="AS6" s="397">
        <f>Data!CJ5/AS$4*100000*AS$3</f>
        <v>697181.65455332515</v>
      </c>
      <c r="AT6" s="397">
        <f>Data!CK5/AT$4*100000*AT$3</f>
        <v>1157041.4718643839</v>
      </c>
      <c r="AU6" s="397">
        <f>Data!CL5/AU$4*100000*AU$3</f>
        <v>1635388.478033626</v>
      </c>
      <c r="AV6" s="397">
        <f>Data!CM5/AV$4*100000*AV$3</f>
        <v>2348595.5288474793</v>
      </c>
      <c r="AW6" s="397">
        <f>Data!CN5/AW$4*100000*AW$3</f>
        <v>2892278.3284221804</v>
      </c>
      <c r="AX6" s="397">
        <f>Data!CO5/AX$4*100000*AX$3</f>
        <v>2802922.7057273397</v>
      </c>
      <c r="AY6" s="397">
        <f>Data!CP5/AY$4*100000*AY$3</f>
        <v>3591626.3563196058</v>
      </c>
      <c r="AZ6" s="397">
        <f>Data!CQ5/AZ$4*100000*AZ$3</f>
        <v>3360676.225317549</v>
      </c>
      <c r="BA6" s="397">
        <f>Data!CR5/BA$4*100000*BA$3</f>
        <v>2488926.8877726719</v>
      </c>
      <c r="BB6" s="397">
        <f>Data!CS5/BB$4*100000*BB$3</f>
        <v>1393586.29372701</v>
      </c>
      <c r="BC6" s="397">
        <f>Data!CT5/BC$4*100000*BC$3</f>
        <v>783016.08623005601</v>
      </c>
      <c r="BD6" s="397">
        <f>Data!CU5/BD$4*100000*BD$3</f>
        <v>775893.54537709442</v>
      </c>
      <c r="BE6" s="392"/>
      <c r="BF6" s="392"/>
      <c r="BG6" s="392"/>
      <c r="BH6" s="392"/>
      <c r="BI6" s="392"/>
      <c r="BJ6" s="392"/>
      <c r="BK6" s="392"/>
    </row>
    <row r="7" spans="1:63" ht="12" customHeight="1">
      <c r="A7" s="67"/>
      <c r="B7" s="293" t="str">
        <f>UPPER(LEFT(TRIM(Data!B6),1)) &amp; MID(TRIM(Data!B6),2,50)</f>
        <v>Lūpos</v>
      </c>
      <c r="C7" s="294" t="str">
        <f>UPPER(LEFT(TRIM(Data!C6),1)) &amp; MID(TRIM(Data!C6),2,50)</f>
        <v>C00</v>
      </c>
      <c r="D7" s="295">
        <f>Data!BQ6</f>
        <v>8</v>
      </c>
      <c r="E7" s="296">
        <f t="shared" si="0"/>
        <v>0.51053684225305007</v>
      </c>
      <c r="F7" s="297">
        <f>R7/$R$3</f>
        <v>0.20176128362063653</v>
      </c>
      <c r="G7" s="297">
        <f t="shared" si="1"/>
        <v>0.11275529299243979</v>
      </c>
      <c r="H7" s="73"/>
      <c r="I7" s="73"/>
      <c r="J7" s="73"/>
      <c r="K7" s="73"/>
      <c r="L7" s="73"/>
      <c r="M7" s="73"/>
      <c r="N7" s="73"/>
      <c r="O7" s="73"/>
      <c r="P7" s="273"/>
      <c r="Q7" s="402" t="s">
        <v>353</v>
      </c>
      <c r="R7" s="397">
        <f t="shared" si="2"/>
        <v>20176.128362063653</v>
      </c>
      <c r="S7" s="397">
        <f>Data!CD6/S$4*100000*S$3</f>
        <v>0</v>
      </c>
      <c r="T7" s="397">
        <f>Data!CE6/T$4*100000*T$3</f>
        <v>0</v>
      </c>
      <c r="U7" s="397">
        <f>Data!CF6/U$4*100000*U$3</f>
        <v>0</v>
      </c>
      <c r="V7" s="397">
        <f>Data!CG6/V$4*100000*V$3</f>
        <v>0</v>
      </c>
      <c r="W7" s="397">
        <f>Data!CH6/W$4*100000*W$3</f>
        <v>0</v>
      </c>
      <c r="X7" s="397">
        <f>Data!CI6/X$4*100000*X$3</f>
        <v>0</v>
      </c>
      <c r="Y7" s="397">
        <f>Data!CJ6/Y$4*100000*Y$3</f>
        <v>0</v>
      </c>
      <c r="Z7" s="397">
        <f>Data!CK6/Z$4*100000*Z$3</f>
        <v>0</v>
      </c>
      <c r="AA7" s="397">
        <f>Data!CL6/AA$4*100000*AA$3</f>
        <v>0</v>
      </c>
      <c r="AB7" s="397">
        <f>Data!CM6/AB$4*100000*AB$3</f>
        <v>0</v>
      </c>
      <c r="AC7" s="397">
        <f>Data!CN6/AC$4*100000*AC$3</f>
        <v>0</v>
      </c>
      <c r="AD7" s="397">
        <f>Data!CO6/AD$4*100000*AD$3</f>
        <v>0</v>
      </c>
      <c r="AE7" s="397">
        <f>Data!CP6/AE$4*100000*AE$3</f>
        <v>0</v>
      </c>
      <c r="AF7" s="397">
        <f>Data!CQ6/AF$4*100000*AF$3</f>
        <v>0</v>
      </c>
      <c r="AG7" s="397">
        <f>Data!CR6/AG$4*100000*AG$3</f>
        <v>7124.7907092729147</v>
      </c>
      <c r="AH7" s="397">
        <f>Data!CS6/AH$4*100000*AH$3</f>
        <v>4937.4182240106657</v>
      </c>
      <c r="AI7" s="397">
        <f>Data!CT6/AI$4*100000*AI$3</f>
        <v>0</v>
      </c>
      <c r="AJ7" s="397">
        <f>Data!CU6/AJ$4*100000*AJ$3</f>
        <v>8113.9194287800719</v>
      </c>
      <c r="AK7" s="402" t="s">
        <v>353</v>
      </c>
      <c r="AL7" s="397">
        <f t="shared" si="3"/>
        <v>11275.529299243979</v>
      </c>
      <c r="AM7" s="397">
        <f>Data!CD6/AM$4*100000*AM$3</f>
        <v>0</v>
      </c>
      <c r="AN7" s="397">
        <f>Data!CE6/AN$4*100000*AN$3</f>
        <v>0</v>
      </c>
      <c r="AO7" s="397">
        <f>Data!CF6/AO$4*100000*AO$3</f>
        <v>0</v>
      </c>
      <c r="AP7" s="397">
        <f>Data!CG6/AP$4*100000*AP$3</f>
        <v>0</v>
      </c>
      <c r="AQ7" s="397">
        <f>Data!CH6/AQ$4*100000*AQ$3</f>
        <v>0</v>
      </c>
      <c r="AR7" s="397">
        <f>Data!CI6/AR$4*100000*AR$3</f>
        <v>0</v>
      </c>
      <c r="AS7" s="397">
        <f>Data!CJ6/AS$4*100000*AS$3</f>
        <v>0</v>
      </c>
      <c r="AT7" s="397">
        <f>Data!CK6/AT$4*100000*AT$3</f>
        <v>0</v>
      </c>
      <c r="AU7" s="397">
        <f>Data!CL6/AU$4*100000*AU$3</f>
        <v>0</v>
      </c>
      <c r="AV7" s="397">
        <f>Data!CM6/AV$4*100000*AV$3</f>
        <v>0</v>
      </c>
      <c r="AW7" s="397">
        <f>Data!CN6/AW$4*100000*AW$3</f>
        <v>0</v>
      </c>
      <c r="AX7" s="397">
        <f>Data!CO6/AX$4*100000*AX$3</f>
        <v>0</v>
      </c>
      <c r="AY7" s="397">
        <f>Data!CP6/AY$4*100000*AY$3</f>
        <v>0</v>
      </c>
      <c r="AZ7" s="397">
        <f>Data!CQ6/AZ$4*100000*AZ$3</f>
        <v>0</v>
      </c>
      <c r="BA7" s="397">
        <f>Data!CR6/BA$4*100000*BA$3</f>
        <v>4749.8604728486098</v>
      </c>
      <c r="BB7" s="397">
        <f>Data!CS6/BB$4*100000*BB$3</f>
        <v>2468.7091120053328</v>
      </c>
      <c r="BC7" s="397">
        <f>Data!CT6/BC$4*100000*BC$3</f>
        <v>0</v>
      </c>
      <c r="BD7" s="397">
        <f>Data!CU6/BD$4*100000*BD$3</f>
        <v>4056.959714390036</v>
      </c>
      <c r="BE7" s="392"/>
      <c r="BF7" s="392"/>
      <c r="BG7" s="392"/>
      <c r="BH7" s="392"/>
      <c r="BI7" s="392"/>
      <c r="BJ7" s="392"/>
      <c r="BK7" s="392"/>
    </row>
    <row r="8" spans="1:63" ht="12" customHeight="1">
      <c r="A8" s="67"/>
      <c r="B8" s="150" t="str">
        <f>UPPER(LEFT(TRIM(Data!B7),1)) &amp; MID(TRIM(Data!B7),2,50)</f>
        <v>Burnos ertmės ir ryklės</v>
      </c>
      <c r="C8" s="129" t="str">
        <f>UPPER(LEFT(TRIM(Data!C7),1)) &amp; MID(TRIM(Data!C7),2,50)</f>
        <v>C01-C14</v>
      </c>
      <c r="D8" s="130">
        <f>Data!BQ7</f>
        <v>81</v>
      </c>
      <c r="E8" s="131">
        <f t="shared" ref="E8:E51" si="4">D8/$R$4*100000</f>
        <v>5.1691855278121324</v>
      </c>
      <c r="F8" s="132">
        <f t="shared" ref="F8:F51" si="5">R8/$R$3</f>
        <v>3.7166104238103128</v>
      </c>
      <c r="G8" s="132">
        <f t="shared" ref="G8:G51" si="6">AL8/$AL$3</f>
        <v>2.7355350435227872</v>
      </c>
      <c r="H8" s="73"/>
      <c r="I8" s="73"/>
      <c r="J8" s="73"/>
      <c r="K8" s="73"/>
      <c r="L8" s="73"/>
      <c r="M8" s="73"/>
      <c r="N8" s="73"/>
      <c r="O8" s="73"/>
      <c r="P8" s="269"/>
      <c r="Q8" s="402" t="s">
        <v>353</v>
      </c>
      <c r="R8" s="397">
        <f t="shared" si="2"/>
        <v>371661.04238103126</v>
      </c>
      <c r="S8" s="397">
        <f>Data!CD7/S$4*100000*S$3</f>
        <v>0</v>
      </c>
      <c r="T8" s="397">
        <f>Data!CE7/T$4*100000*T$3</f>
        <v>0</v>
      </c>
      <c r="U8" s="397">
        <f>Data!CF7/U$4*100000*U$3</f>
        <v>0</v>
      </c>
      <c r="V8" s="397">
        <f>Data!CG7/V$4*100000*V$3</f>
        <v>0</v>
      </c>
      <c r="W8" s="397">
        <f>Data!CH7/W$4*100000*W$3</f>
        <v>0</v>
      </c>
      <c r="X8" s="397">
        <f>Data!CI7/X$4*100000*X$3</f>
        <v>7357.2689817539731</v>
      </c>
      <c r="Y8" s="397">
        <f>Data!CJ7/Y$4*100000*Y$3</f>
        <v>7974.299970381172</v>
      </c>
      <c r="Z8" s="397">
        <f>Data!CK7/Z$4*100000*Z$3</f>
        <v>15696.299036919936</v>
      </c>
      <c r="AA8" s="397">
        <f>Data!CL7/AA$4*100000*AA$3</f>
        <v>6838.5420228407311</v>
      </c>
      <c r="AB8" s="397">
        <f>Data!CM7/AB$4*100000*AB$3</f>
        <v>51455.927079600478</v>
      </c>
      <c r="AC8" s="397">
        <f>Data!CN7/AC$4*100000*AC$3</f>
        <v>41019.287436378247</v>
      </c>
      <c r="AD8" s="397">
        <f>Data!CO7/AD$4*100000*AD$3</f>
        <v>77003.371036465382</v>
      </c>
      <c r="AE8" s="397">
        <f>Data!CP7/AE$4*100000*AE$3</f>
        <v>51133.632635529691</v>
      </c>
      <c r="AF8" s="397">
        <f>Data!CQ7/AF$4*100000*AF$3</f>
        <v>40900.724851734871</v>
      </c>
      <c r="AG8" s="397">
        <f>Data!CR7/AG$4*100000*AG$3</f>
        <v>39186.348901001031</v>
      </c>
      <c r="AH8" s="397">
        <f>Data!CS7/AH$4*100000*AH$3</f>
        <v>12343.545560026663</v>
      </c>
      <c r="AI8" s="397">
        <f>Data!CT7/AI$4*100000*AI$3</f>
        <v>6552.4358680339428</v>
      </c>
      <c r="AJ8" s="397">
        <f>Data!CU7/AJ$4*100000*AJ$3</f>
        <v>14199.359000365128</v>
      </c>
      <c r="AK8" s="402" t="s">
        <v>353</v>
      </c>
      <c r="AL8" s="397">
        <f t="shared" si="3"/>
        <v>273553.50435227872</v>
      </c>
      <c r="AM8" s="397">
        <f>Data!CD7/AM$4*100000*AM$3</f>
        <v>0</v>
      </c>
      <c r="AN8" s="397">
        <f>Data!CE7/AN$4*100000*AN$3</f>
        <v>0</v>
      </c>
      <c r="AO8" s="397">
        <f>Data!CF7/AO$4*100000*AO$3</f>
        <v>0</v>
      </c>
      <c r="AP8" s="397">
        <f>Data!CG7/AP$4*100000*AP$3</f>
        <v>0</v>
      </c>
      <c r="AQ8" s="397">
        <f>Data!CH7/AQ$4*100000*AQ$3</f>
        <v>0</v>
      </c>
      <c r="AR8" s="397">
        <f>Data!CI7/AR$4*100000*AR$3</f>
        <v>8408.3074077188267</v>
      </c>
      <c r="AS8" s="397">
        <f>Data!CJ7/AS$4*100000*AS$3</f>
        <v>6835.114260326719</v>
      </c>
      <c r="AT8" s="397">
        <f>Data!CK7/AT$4*100000*AT$3</f>
        <v>13453.970603074231</v>
      </c>
      <c r="AU8" s="397">
        <f>Data!CL7/AU$4*100000*AU$3</f>
        <v>5861.6074481491978</v>
      </c>
      <c r="AV8" s="397">
        <f>Data!CM7/AV$4*100000*AV$3</f>
        <v>44105.080353943267</v>
      </c>
      <c r="AW8" s="397">
        <f>Data!CN7/AW$4*100000*AW$3</f>
        <v>29299.491025984462</v>
      </c>
      <c r="AX8" s="397">
        <f>Data!CO7/AX$4*100000*AX$3</f>
        <v>51335.580690976916</v>
      </c>
      <c r="AY8" s="397">
        <f>Data!CP7/AY$4*100000*AY$3</f>
        <v>40906.906108423755</v>
      </c>
      <c r="AZ8" s="397">
        <f>Data!CQ7/AZ$4*100000*AZ$3</f>
        <v>30675.543638801155</v>
      </c>
      <c r="BA8" s="397">
        <f>Data!CR7/BA$4*100000*BA$3</f>
        <v>26124.232600667354</v>
      </c>
      <c r="BB8" s="397">
        <f>Data!CS7/BB$4*100000*BB$3</f>
        <v>6171.7727800133316</v>
      </c>
      <c r="BC8" s="397">
        <f>Data!CT7/BC$4*100000*BC$3</f>
        <v>3276.2179340169714</v>
      </c>
      <c r="BD8" s="397">
        <f>Data!CU7/BD$4*100000*BD$3</f>
        <v>7099.679500182564</v>
      </c>
      <c r="BE8" s="392"/>
      <c r="BF8" s="392"/>
      <c r="BG8" s="392"/>
      <c r="BH8" s="392"/>
      <c r="BI8" s="392"/>
      <c r="BJ8" s="392"/>
      <c r="BK8" s="392"/>
    </row>
    <row r="9" spans="1:63" ht="12" customHeight="1">
      <c r="A9" s="67"/>
      <c r="B9" s="293" t="str">
        <f>UPPER(LEFT(TRIM(Data!B8),1)) &amp; MID(TRIM(Data!B8),2,50)</f>
        <v>Stemplės</v>
      </c>
      <c r="C9" s="294" t="str">
        <f>UPPER(LEFT(TRIM(Data!C8),1)) &amp; MID(TRIM(Data!C8),2,50)</f>
        <v>C15</v>
      </c>
      <c r="D9" s="295">
        <f>Data!BQ8</f>
        <v>37</v>
      </c>
      <c r="E9" s="296">
        <f t="shared" si="4"/>
        <v>2.3612328954203567</v>
      </c>
      <c r="F9" s="297">
        <f t="shared" si="5"/>
        <v>1.4733413089469072</v>
      </c>
      <c r="G9" s="297">
        <f t="shared" si="6"/>
        <v>1.0450175893706837</v>
      </c>
      <c r="H9" s="73"/>
      <c r="I9" s="73"/>
      <c r="J9" s="73"/>
      <c r="K9" s="73"/>
      <c r="L9" s="73"/>
      <c r="M9" s="73"/>
      <c r="N9" s="73"/>
      <c r="O9" s="73"/>
      <c r="P9" s="269"/>
      <c r="Q9" s="402" t="s">
        <v>353</v>
      </c>
      <c r="R9" s="397">
        <f t="shared" si="2"/>
        <v>147334.13089469072</v>
      </c>
      <c r="S9" s="397">
        <f>Data!CD8/S$4*100000*S$3</f>
        <v>0</v>
      </c>
      <c r="T9" s="397">
        <f>Data!CE8/T$4*100000*T$3</f>
        <v>0</v>
      </c>
      <c r="U9" s="397">
        <f>Data!CF8/U$4*100000*U$3</f>
        <v>0</v>
      </c>
      <c r="V9" s="397">
        <f>Data!CG8/V$4*100000*V$3</f>
        <v>0</v>
      </c>
      <c r="W9" s="397">
        <f>Data!CH8/W$4*100000*W$3</f>
        <v>7138.4866408321441</v>
      </c>
      <c r="X9" s="397">
        <f>Data!CI8/X$4*100000*X$3</f>
        <v>0</v>
      </c>
      <c r="Y9" s="397">
        <f>Data!CJ8/Y$4*100000*Y$3</f>
        <v>0</v>
      </c>
      <c r="Z9" s="397">
        <f>Data!CK8/Z$4*100000*Z$3</f>
        <v>0</v>
      </c>
      <c r="AA9" s="397">
        <f>Data!CL8/AA$4*100000*AA$3</f>
        <v>6838.5420228407311</v>
      </c>
      <c r="AB9" s="397">
        <f>Data!CM8/AB$4*100000*AB$3</f>
        <v>0</v>
      </c>
      <c r="AC9" s="397">
        <f>Data!CN8/AC$4*100000*AC$3</f>
        <v>17579.694615590677</v>
      </c>
      <c r="AD9" s="397">
        <f>Data!CO8/AD$4*100000*AD$3</f>
        <v>35934.906483683844</v>
      </c>
      <c r="AE9" s="397">
        <f>Data!CP8/AE$4*100000*AE$3</f>
        <v>25566.816317764846</v>
      </c>
      <c r="AF9" s="397">
        <f>Data!CQ8/AF$4*100000*AF$3</f>
        <v>13633.574950578293</v>
      </c>
      <c r="AG9" s="397">
        <f>Data!CR8/AG$4*100000*AG$3</f>
        <v>17811.976773182287</v>
      </c>
      <c r="AH9" s="397">
        <f>Data!CS8/AH$4*100000*AH$3</f>
        <v>2468.7091120053328</v>
      </c>
      <c r="AI9" s="397">
        <f>Data!CT8/AI$4*100000*AI$3</f>
        <v>8190.5448350424276</v>
      </c>
      <c r="AJ9" s="397">
        <f>Data!CU8/AJ$4*100000*AJ$3</f>
        <v>12170.879143170108</v>
      </c>
      <c r="AK9" s="402" t="s">
        <v>353</v>
      </c>
      <c r="AL9" s="397">
        <f t="shared" si="3"/>
        <v>104501.75893706837</v>
      </c>
      <c r="AM9" s="397">
        <f>Data!CD8/AM$4*100000*AM$3</f>
        <v>0</v>
      </c>
      <c r="AN9" s="397">
        <f>Data!CE8/AN$4*100000*AN$3</f>
        <v>0</v>
      </c>
      <c r="AO9" s="397">
        <f>Data!CF8/AO$4*100000*AO$3</f>
        <v>0</v>
      </c>
      <c r="AP9" s="397">
        <f>Data!CG8/AP$4*100000*AP$3</f>
        <v>0</v>
      </c>
      <c r="AQ9" s="397">
        <f>Data!CH8/AQ$4*100000*AQ$3</f>
        <v>8158.2704466653076</v>
      </c>
      <c r="AR9" s="397">
        <f>Data!CI8/AR$4*100000*AR$3</f>
        <v>0</v>
      </c>
      <c r="AS9" s="397">
        <f>Data!CJ8/AS$4*100000*AS$3</f>
        <v>0</v>
      </c>
      <c r="AT9" s="397">
        <f>Data!CK8/AT$4*100000*AT$3</f>
        <v>0</v>
      </c>
      <c r="AU9" s="397">
        <f>Data!CL8/AU$4*100000*AU$3</f>
        <v>5861.6074481491978</v>
      </c>
      <c r="AV9" s="397">
        <f>Data!CM8/AV$4*100000*AV$3</f>
        <v>0</v>
      </c>
      <c r="AW9" s="397">
        <f>Data!CN8/AW$4*100000*AW$3</f>
        <v>12556.924725421912</v>
      </c>
      <c r="AX9" s="397">
        <f>Data!CO8/AX$4*100000*AX$3</f>
        <v>23956.604322455896</v>
      </c>
      <c r="AY9" s="397">
        <f>Data!CP8/AY$4*100000*AY$3</f>
        <v>20453.453054211877</v>
      </c>
      <c r="AZ9" s="397">
        <f>Data!CQ8/AZ$4*100000*AZ$3</f>
        <v>10225.18121293372</v>
      </c>
      <c r="BA9" s="397">
        <f>Data!CR8/BA$4*100000*BA$3</f>
        <v>11874.651182121524</v>
      </c>
      <c r="BB9" s="397">
        <f>Data!CS8/BB$4*100000*BB$3</f>
        <v>1234.3545560026664</v>
      </c>
      <c r="BC9" s="397">
        <f>Data!CT8/BC$4*100000*BC$3</f>
        <v>4095.2724175212138</v>
      </c>
      <c r="BD9" s="397">
        <f>Data!CU8/BD$4*100000*BD$3</f>
        <v>6085.4395715850542</v>
      </c>
      <c r="BE9" s="392"/>
      <c r="BF9" s="392"/>
      <c r="BG9" s="392"/>
      <c r="BH9" s="392"/>
      <c r="BI9" s="392"/>
      <c r="BJ9" s="392"/>
      <c r="BK9" s="392"/>
    </row>
    <row r="10" spans="1:63" ht="12" customHeight="1">
      <c r="A10" s="67"/>
      <c r="B10" s="150" t="str">
        <f>UPPER(LEFT(TRIM(Data!B9),1)) &amp; MID(TRIM(Data!B9),2,50)</f>
        <v>Skrandžio</v>
      </c>
      <c r="C10" s="129" t="str">
        <f>UPPER(LEFT(TRIM(Data!C9),1)) &amp; MID(TRIM(Data!C9),2,50)</f>
        <v>C16</v>
      </c>
      <c r="D10" s="130">
        <f>Data!BQ9</f>
        <v>315</v>
      </c>
      <c r="E10" s="131">
        <f t="shared" si="4"/>
        <v>20.102388163713851</v>
      </c>
      <c r="F10" s="132">
        <f t="shared" si="5"/>
        <v>11.205593338592962</v>
      </c>
      <c r="G10" s="132">
        <f t="shared" si="6"/>
        <v>7.6463957780919296</v>
      </c>
      <c r="H10" s="73"/>
      <c r="I10" s="73"/>
      <c r="J10" s="73"/>
      <c r="K10" s="73"/>
      <c r="L10" s="73"/>
      <c r="M10" s="73"/>
      <c r="N10" s="73"/>
      <c r="O10" s="73"/>
      <c r="P10" s="269"/>
      <c r="Q10" s="358" t="s">
        <v>353</v>
      </c>
      <c r="R10" s="356">
        <f t="shared" si="2"/>
        <v>1120559.3338592963</v>
      </c>
      <c r="S10" s="356">
        <f>Data!CD9/S$4*100000*S$3</f>
        <v>0</v>
      </c>
      <c r="T10" s="356">
        <f>Data!CE9/T$4*100000*T$3</f>
        <v>0</v>
      </c>
      <c r="U10" s="356">
        <f>Data!CF9/U$4*100000*U$3</f>
        <v>0</v>
      </c>
      <c r="V10" s="356">
        <f>Data!CG9/V$4*100000*V$3</f>
        <v>0</v>
      </c>
      <c r="W10" s="356">
        <f>Data!CH9/W$4*100000*W$3</f>
        <v>0</v>
      </c>
      <c r="X10" s="356">
        <f>Data!CI9/X$4*100000*X$3</f>
        <v>7357.2689817539731</v>
      </c>
      <c r="Y10" s="356">
        <f>Data!CJ9/Y$4*100000*Y$3</f>
        <v>15948.599940762344</v>
      </c>
      <c r="Z10" s="356">
        <f>Data!CK9/Z$4*100000*Z$3</f>
        <v>47088.897110759804</v>
      </c>
      <c r="AA10" s="356">
        <f>Data!CL9/AA$4*100000*AA$3</f>
        <v>34192.710114203655</v>
      </c>
      <c r="AB10" s="356">
        <f>Data!CM9/AB$4*100000*AB$3</f>
        <v>51455.927079600478</v>
      </c>
      <c r="AC10" s="356">
        <f>Data!CN9/AC$4*100000*AC$3</f>
        <v>93758.371283150293</v>
      </c>
      <c r="AD10" s="356">
        <f>Data!CO9/AD$4*100000*AD$3</f>
        <v>128338.95172744228</v>
      </c>
      <c r="AE10" s="356">
        <f>Data!CP9/AE$4*100000*AE$3</f>
        <v>168740.987697248</v>
      </c>
      <c r="AF10" s="356">
        <f>Data!CQ9/AF$4*100000*AF$3</f>
        <v>122702.1745552046</v>
      </c>
      <c r="AG10" s="356">
        <f>Data!CR9/AG$4*100000*AG$3</f>
        <v>142495.81418545829</v>
      </c>
      <c r="AH10" s="356">
        <f>Data!CS9/AH$4*100000*AH$3</f>
        <v>123435.45560026662</v>
      </c>
      <c r="AI10" s="356">
        <f>Data!CT9/AI$4*100000*AI$3</f>
        <v>91734.102152475185</v>
      </c>
      <c r="AJ10" s="356">
        <f>Data!CU9/AJ$4*100000*AJ$3</f>
        <v>93310.073430970835</v>
      </c>
      <c r="AK10" s="358" t="s">
        <v>353</v>
      </c>
      <c r="AL10" s="356">
        <f t="shared" si="3"/>
        <v>764639.57780919294</v>
      </c>
      <c r="AM10" s="356">
        <f>Data!CD9/AM$4*100000*AM$3</f>
        <v>0</v>
      </c>
      <c r="AN10" s="356">
        <f>Data!CE9/AN$4*100000*AN$3</f>
        <v>0</v>
      </c>
      <c r="AO10" s="356">
        <f>Data!CF9/AO$4*100000*AO$3</f>
        <v>0</v>
      </c>
      <c r="AP10" s="356">
        <f>Data!CG9/AP$4*100000*AP$3</f>
        <v>0</v>
      </c>
      <c r="AQ10" s="356">
        <f>Data!CH9/AQ$4*100000*AQ$3</f>
        <v>0</v>
      </c>
      <c r="AR10" s="356">
        <f>Data!CI9/AR$4*100000*AR$3</f>
        <v>8408.3074077188267</v>
      </c>
      <c r="AS10" s="356">
        <f>Data!CJ9/AS$4*100000*AS$3</f>
        <v>13670.228520653438</v>
      </c>
      <c r="AT10" s="356">
        <f>Data!CK9/AT$4*100000*AT$3</f>
        <v>40361.911809222693</v>
      </c>
      <c r="AU10" s="356">
        <f>Data!CL9/AU$4*100000*AU$3</f>
        <v>29308.037240745987</v>
      </c>
      <c r="AV10" s="356">
        <f>Data!CM9/AV$4*100000*AV$3</f>
        <v>44105.080353943267</v>
      </c>
      <c r="AW10" s="356">
        <f>Data!CN9/AW$4*100000*AW$3</f>
        <v>66970.265202250201</v>
      </c>
      <c r="AX10" s="356">
        <f>Data!CO9/AX$4*100000*AX$3</f>
        <v>85559.301151628184</v>
      </c>
      <c r="AY10" s="356">
        <f>Data!CP9/AY$4*100000*AY$3</f>
        <v>134992.79015779839</v>
      </c>
      <c r="AZ10" s="356">
        <f>Data!CQ9/AZ$4*100000*AZ$3</f>
        <v>92026.630916403461</v>
      </c>
      <c r="BA10" s="356">
        <f>Data!CR9/BA$4*100000*BA$3</f>
        <v>94997.209456972196</v>
      </c>
      <c r="BB10" s="356">
        <f>Data!CS9/BB$4*100000*BB$3</f>
        <v>61717.727800133311</v>
      </c>
      <c r="BC10" s="356">
        <f>Data!CT9/BC$4*100000*BC$3</f>
        <v>45867.051076237592</v>
      </c>
      <c r="BD10" s="356">
        <f>Data!CU9/BD$4*100000*BD$3</f>
        <v>46655.036715485418</v>
      </c>
    </row>
    <row r="11" spans="1:63" ht="12" customHeight="1">
      <c r="A11" s="67"/>
      <c r="B11" s="293" t="str">
        <f>UPPER(LEFT(TRIM(Data!B10),1)) &amp; MID(TRIM(Data!B10),2,50)</f>
        <v>Gaubtinės žarnos</v>
      </c>
      <c r="C11" s="294" t="str">
        <f>UPPER(LEFT(TRIM(Data!C10),1)) &amp; MID(TRIM(Data!C10),2,50)</f>
        <v>C18</v>
      </c>
      <c r="D11" s="295">
        <f>Data!BQ10</f>
        <v>454</v>
      </c>
      <c r="E11" s="296">
        <f t="shared" si="4"/>
        <v>28.972965797860596</v>
      </c>
      <c r="F11" s="297">
        <f t="shared" si="5"/>
        <v>15.839116217215711</v>
      </c>
      <c r="G11" s="297">
        <f t="shared" si="6"/>
        <v>10.638738926452397</v>
      </c>
      <c r="H11" s="73"/>
      <c r="I11" s="73"/>
      <c r="J11" s="73"/>
      <c r="K11" s="73"/>
      <c r="L11" s="73"/>
      <c r="M11" s="73"/>
      <c r="N11" s="73"/>
      <c r="O11" s="73"/>
      <c r="P11" s="269"/>
      <c r="Q11" s="358" t="s">
        <v>353</v>
      </c>
      <c r="R11" s="356">
        <f t="shared" si="2"/>
        <v>1583911.6217215711</v>
      </c>
      <c r="S11" s="356">
        <f>Data!CD10/S$4*100000*S$3</f>
        <v>0</v>
      </c>
      <c r="T11" s="356">
        <f>Data!CE10/T$4*100000*T$3</f>
        <v>0</v>
      </c>
      <c r="U11" s="356">
        <f>Data!CF10/U$4*100000*U$3</f>
        <v>0</v>
      </c>
      <c r="V11" s="356">
        <f>Data!CG10/V$4*100000*V$3</f>
        <v>0</v>
      </c>
      <c r="W11" s="356">
        <f>Data!CH10/W$4*100000*W$3</f>
        <v>0</v>
      </c>
      <c r="X11" s="356">
        <f>Data!CI10/X$4*100000*X$3</f>
        <v>0</v>
      </c>
      <c r="Y11" s="356">
        <f>Data!CJ10/Y$4*100000*Y$3</f>
        <v>7974.299970381172</v>
      </c>
      <c r="Z11" s="356">
        <f>Data!CK10/Z$4*100000*Z$3</f>
        <v>23544.448555379902</v>
      </c>
      <c r="AA11" s="356">
        <f>Data!CL10/AA$4*100000*AA$3</f>
        <v>20515.62606852219</v>
      </c>
      <c r="AB11" s="356">
        <f>Data!CM10/AB$4*100000*AB$3</f>
        <v>51455.927079600478</v>
      </c>
      <c r="AC11" s="356">
        <f>Data!CN10/AC$4*100000*AC$3</f>
        <v>134777.65871952855</v>
      </c>
      <c r="AD11" s="356">
        <f>Data!CO10/AD$4*100000*AD$3</f>
        <v>195075.20662571228</v>
      </c>
      <c r="AE11" s="356">
        <f>Data!CP10/AE$4*100000*AE$3</f>
        <v>214761.2570692247</v>
      </c>
      <c r="AF11" s="356">
        <f>Data!CQ10/AF$4*100000*AF$3</f>
        <v>272671.49901156581</v>
      </c>
      <c r="AG11" s="356">
        <f>Data!CR10/AG$4*100000*AG$3</f>
        <v>245805.27946991558</v>
      </c>
      <c r="AH11" s="356">
        <f>Data!CS10/AH$4*100000*AH$3</f>
        <v>162934.80139235195</v>
      </c>
      <c r="AI11" s="356">
        <f>Data!CT10/AI$4*100000*AI$3</f>
        <v>132686.8263276873</v>
      </c>
      <c r="AJ11" s="356">
        <f>Data!CU10/AJ$4*100000*AJ$3</f>
        <v>121708.79143170109</v>
      </c>
      <c r="AK11" s="358" t="s">
        <v>353</v>
      </c>
      <c r="AL11" s="356">
        <f t="shared" si="3"/>
        <v>1063873.8926452398</v>
      </c>
      <c r="AM11" s="356">
        <f>Data!CD10/AM$4*100000*AM$3</f>
        <v>0</v>
      </c>
      <c r="AN11" s="356">
        <f>Data!CE10/AN$4*100000*AN$3</f>
        <v>0</v>
      </c>
      <c r="AO11" s="356">
        <f>Data!CF10/AO$4*100000*AO$3</f>
        <v>0</v>
      </c>
      <c r="AP11" s="356">
        <f>Data!CG10/AP$4*100000*AP$3</f>
        <v>0</v>
      </c>
      <c r="AQ11" s="356">
        <f>Data!CH10/AQ$4*100000*AQ$3</f>
        <v>0</v>
      </c>
      <c r="AR11" s="356">
        <f>Data!CI10/AR$4*100000*AR$3</f>
        <v>0</v>
      </c>
      <c r="AS11" s="356">
        <f>Data!CJ10/AS$4*100000*AS$3</f>
        <v>6835.114260326719</v>
      </c>
      <c r="AT11" s="356">
        <f>Data!CK10/AT$4*100000*AT$3</f>
        <v>20180.955904611346</v>
      </c>
      <c r="AU11" s="356">
        <f>Data!CL10/AU$4*100000*AU$3</f>
        <v>17584.822344447592</v>
      </c>
      <c r="AV11" s="356">
        <f>Data!CM10/AV$4*100000*AV$3</f>
        <v>44105.080353943267</v>
      </c>
      <c r="AW11" s="356">
        <f>Data!CN10/AW$4*100000*AW$3</f>
        <v>96269.756228234677</v>
      </c>
      <c r="AX11" s="356">
        <f>Data!CO10/AX$4*100000*AX$3</f>
        <v>130050.13775047485</v>
      </c>
      <c r="AY11" s="356">
        <f>Data!CP10/AY$4*100000*AY$3</f>
        <v>171809.00565537976</v>
      </c>
      <c r="AZ11" s="356">
        <f>Data!CQ10/AZ$4*100000*AZ$3</f>
        <v>204503.62425867436</v>
      </c>
      <c r="BA11" s="356">
        <f>Data!CR10/BA$4*100000*BA$3</f>
        <v>163870.18631327705</v>
      </c>
      <c r="BB11" s="356">
        <f>Data!CS10/BB$4*100000*BB$3</f>
        <v>81467.400696175973</v>
      </c>
      <c r="BC11" s="356">
        <f>Data!CT10/BC$4*100000*BC$3</f>
        <v>66343.413163843652</v>
      </c>
      <c r="BD11" s="356">
        <f>Data!CU10/BD$4*100000*BD$3</f>
        <v>60854.395715850544</v>
      </c>
    </row>
    <row r="12" spans="1:63" ht="12" customHeight="1">
      <c r="A12" s="67"/>
      <c r="B12" s="150" t="str">
        <f>UPPER(LEFT(TRIM(Data!B11),1)) &amp; MID(TRIM(Data!B11),2,50)</f>
        <v>Tiesiosios žarnos, išangės</v>
      </c>
      <c r="C12" s="129" t="str">
        <f>UPPER(LEFT(TRIM(Data!C11),1)) &amp; MID(TRIM(Data!C11),2,50)</f>
        <v>C19-C21</v>
      </c>
      <c r="D12" s="130">
        <f>Data!BQ11</f>
        <v>278</v>
      </c>
      <c r="E12" s="131">
        <f t="shared" si="4"/>
        <v>17.74115526829349</v>
      </c>
      <c r="F12" s="132">
        <f t="shared" si="5"/>
        <v>10.620203369897531</v>
      </c>
      <c r="G12" s="132">
        <f t="shared" si="6"/>
        <v>7.4113442318428771</v>
      </c>
      <c r="H12" s="73"/>
      <c r="I12" s="73"/>
      <c r="J12" s="73"/>
      <c r="K12" s="73"/>
      <c r="L12" s="73"/>
      <c r="M12" s="73"/>
      <c r="N12" s="73"/>
      <c r="O12" s="73"/>
      <c r="P12" s="269"/>
      <c r="Q12" s="358" t="s">
        <v>353</v>
      </c>
      <c r="R12" s="356">
        <f t="shared" si="2"/>
        <v>1062020.3369897532</v>
      </c>
      <c r="S12" s="356">
        <f>Data!CD11/S$4*100000*S$3</f>
        <v>0</v>
      </c>
      <c r="T12" s="356">
        <f>Data!CE11/T$4*100000*T$3</f>
        <v>0</v>
      </c>
      <c r="U12" s="356">
        <f>Data!CF11/U$4*100000*U$3</f>
        <v>0</v>
      </c>
      <c r="V12" s="356">
        <f>Data!CG11/V$4*100000*V$3</f>
        <v>0</v>
      </c>
      <c r="W12" s="356">
        <f>Data!CH11/W$4*100000*W$3</f>
        <v>0</v>
      </c>
      <c r="X12" s="356">
        <f>Data!CI11/X$4*100000*X$3</f>
        <v>7357.2689817539731</v>
      </c>
      <c r="Y12" s="356">
        <f>Data!CJ11/Y$4*100000*Y$3</f>
        <v>23922.899911143519</v>
      </c>
      <c r="Z12" s="356">
        <f>Data!CK11/Z$4*100000*Z$3</f>
        <v>15696.299036919936</v>
      </c>
      <c r="AA12" s="356">
        <f>Data!CL11/AA$4*100000*AA$3</f>
        <v>6838.5420228407311</v>
      </c>
      <c r="AB12" s="356">
        <f>Data!CM11/AB$4*100000*AB$3</f>
        <v>83615.881504350778</v>
      </c>
      <c r="AC12" s="356">
        <f>Data!CN11/AC$4*100000*AC$3</f>
        <v>99618.26948834717</v>
      </c>
      <c r="AD12" s="356">
        <f>Data!CO11/AD$4*100000*AD$3</f>
        <v>128338.95172744228</v>
      </c>
      <c r="AE12" s="356">
        <f>Data!CP11/AE$4*100000*AE$3</f>
        <v>168740.987697248</v>
      </c>
      <c r="AF12" s="356">
        <f>Data!CQ11/AF$4*100000*AF$3</f>
        <v>186325.52432457</v>
      </c>
      <c r="AG12" s="356">
        <f>Data!CR11/AG$4*100000*AG$3</f>
        <v>113996.65134836663</v>
      </c>
      <c r="AH12" s="356">
        <f>Data!CS11/AH$4*100000*AH$3</f>
        <v>103685.78270422395</v>
      </c>
      <c r="AI12" s="356">
        <f>Data!CT11/AI$4*100000*AI$3</f>
        <v>58971.922812305478</v>
      </c>
      <c r="AJ12" s="356">
        <f>Data!CU11/AJ$4*100000*AJ$3</f>
        <v>64911.355430240576</v>
      </c>
      <c r="AK12" s="358" t="s">
        <v>353</v>
      </c>
      <c r="AL12" s="356">
        <f t="shared" si="3"/>
        <v>741134.42318428773</v>
      </c>
      <c r="AM12" s="356">
        <f>Data!CD11/AM$4*100000*AM$3</f>
        <v>0</v>
      </c>
      <c r="AN12" s="356">
        <f>Data!CE11/AN$4*100000*AN$3</f>
        <v>0</v>
      </c>
      <c r="AO12" s="356">
        <f>Data!CF11/AO$4*100000*AO$3</f>
        <v>0</v>
      </c>
      <c r="AP12" s="356">
        <f>Data!CG11/AP$4*100000*AP$3</f>
        <v>0</v>
      </c>
      <c r="AQ12" s="356">
        <f>Data!CH11/AQ$4*100000*AQ$3</f>
        <v>0</v>
      </c>
      <c r="AR12" s="356">
        <f>Data!CI11/AR$4*100000*AR$3</f>
        <v>8408.3074077188267</v>
      </c>
      <c r="AS12" s="356">
        <f>Data!CJ11/AS$4*100000*AS$3</f>
        <v>20505.342780980158</v>
      </c>
      <c r="AT12" s="356">
        <f>Data!CK11/AT$4*100000*AT$3</f>
        <v>13453.970603074231</v>
      </c>
      <c r="AU12" s="356">
        <f>Data!CL11/AU$4*100000*AU$3</f>
        <v>5861.6074481491978</v>
      </c>
      <c r="AV12" s="356">
        <f>Data!CM11/AV$4*100000*AV$3</f>
        <v>71670.755575157818</v>
      </c>
      <c r="AW12" s="356">
        <f>Data!CN11/AW$4*100000*AW$3</f>
        <v>71155.906777390832</v>
      </c>
      <c r="AX12" s="356">
        <f>Data!CO11/AX$4*100000*AX$3</f>
        <v>85559.301151628184</v>
      </c>
      <c r="AY12" s="356">
        <f>Data!CP11/AY$4*100000*AY$3</f>
        <v>134992.79015779839</v>
      </c>
      <c r="AZ12" s="356">
        <f>Data!CQ11/AZ$4*100000*AZ$3</f>
        <v>139744.14324342748</v>
      </c>
      <c r="BA12" s="356">
        <f>Data!CR11/BA$4*100000*BA$3</f>
        <v>75997.767565577757</v>
      </c>
      <c r="BB12" s="356">
        <f>Data!CS11/BB$4*100000*BB$3</f>
        <v>51842.891352111976</v>
      </c>
      <c r="BC12" s="356">
        <f>Data!CT11/BC$4*100000*BC$3</f>
        <v>29485.961406152739</v>
      </c>
      <c r="BD12" s="356">
        <f>Data!CU11/BD$4*100000*BD$3</f>
        <v>32455.677715120288</v>
      </c>
    </row>
    <row r="13" spans="1:63" ht="12" customHeight="1">
      <c r="A13" s="67"/>
      <c r="B13" s="293" t="str">
        <f>UPPER(LEFT(TRIM(Data!B12),1)) &amp; MID(TRIM(Data!B12),2,50)</f>
        <v>Kepenų</v>
      </c>
      <c r="C13" s="294" t="str">
        <f>UPPER(LEFT(TRIM(Data!C12),1)) &amp; MID(TRIM(Data!C12),2,50)</f>
        <v>C22</v>
      </c>
      <c r="D13" s="295">
        <f>Data!BQ12</f>
        <v>98</v>
      </c>
      <c r="E13" s="296">
        <f t="shared" si="4"/>
        <v>6.2540763175998642</v>
      </c>
      <c r="F13" s="297">
        <f t="shared" si="5"/>
        <v>3.5031228733748372</v>
      </c>
      <c r="G13" s="297">
        <f t="shared" si="6"/>
        <v>2.3971951039717205</v>
      </c>
      <c r="H13" s="73"/>
      <c r="I13" s="73"/>
      <c r="J13" s="73"/>
      <c r="K13" s="73"/>
      <c r="L13" s="73"/>
      <c r="M13" s="73"/>
      <c r="N13" s="73"/>
      <c r="O13" s="73"/>
      <c r="P13" s="269"/>
      <c r="Q13" s="358" t="s">
        <v>353</v>
      </c>
      <c r="R13" s="356">
        <f t="shared" si="2"/>
        <v>350312.28733748372</v>
      </c>
      <c r="S13" s="356">
        <f>Data!CD12/S$4*100000*S$3</f>
        <v>0</v>
      </c>
      <c r="T13" s="356">
        <f>Data!CE12/T$4*100000*T$3</f>
        <v>0</v>
      </c>
      <c r="U13" s="356">
        <f>Data!CF12/U$4*100000*U$3</f>
        <v>0</v>
      </c>
      <c r="V13" s="356">
        <f>Data!CG12/V$4*100000*V$3</f>
        <v>0</v>
      </c>
      <c r="W13" s="356">
        <f>Data!CH12/W$4*100000*W$3</f>
        <v>7138.4866408321441</v>
      </c>
      <c r="X13" s="356">
        <f>Data!CI12/X$4*100000*X$3</f>
        <v>0</v>
      </c>
      <c r="Y13" s="356">
        <f>Data!CJ12/Y$4*100000*Y$3</f>
        <v>0</v>
      </c>
      <c r="Z13" s="356">
        <f>Data!CK12/Z$4*100000*Z$3</f>
        <v>0</v>
      </c>
      <c r="AA13" s="356">
        <f>Data!CL12/AA$4*100000*AA$3</f>
        <v>6838.5420228407311</v>
      </c>
      <c r="AB13" s="356">
        <f>Data!CM12/AB$4*100000*AB$3</f>
        <v>25727.963539800239</v>
      </c>
      <c r="AC13" s="356">
        <f>Data!CN12/AC$4*100000*AC$3</f>
        <v>35159.389231181354</v>
      </c>
      <c r="AD13" s="356">
        <f>Data!CO12/AD$4*100000*AD$3</f>
        <v>41068.46455278153</v>
      </c>
      <c r="AE13" s="356">
        <f>Data!CP12/AE$4*100000*AE$3</f>
        <v>30680.179581317818</v>
      </c>
      <c r="AF13" s="356">
        <f>Data!CQ12/AF$4*100000*AF$3</f>
        <v>68167.874752891454</v>
      </c>
      <c r="AG13" s="356">
        <f>Data!CR12/AG$4*100000*AG$3</f>
        <v>46311.139610273953</v>
      </c>
      <c r="AH13" s="356">
        <f>Data!CS12/AH$4*100000*AH$3</f>
        <v>37030.636680079988</v>
      </c>
      <c r="AI13" s="356">
        <f>Data!CT12/AI$4*100000*AI$3</f>
        <v>27847.852439144252</v>
      </c>
      <c r="AJ13" s="356">
        <f>Data!CU12/AJ$4*100000*AJ$3</f>
        <v>24341.758286340217</v>
      </c>
      <c r="AK13" s="358" t="s">
        <v>353</v>
      </c>
      <c r="AL13" s="356">
        <f t="shared" si="3"/>
        <v>239719.51039717204</v>
      </c>
      <c r="AM13" s="356">
        <f>Data!CD12/AM$4*100000*AM$3</f>
        <v>0</v>
      </c>
      <c r="AN13" s="356">
        <f>Data!CE12/AN$4*100000*AN$3</f>
        <v>0</v>
      </c>
      <c r="AO13" s="356">
        <f>Data!CF12/AO$4*100000*AO$3</f>
        <v>0</v>
      </c>
      <c r="AP13" s="356">
        <f>Data!CG12/AP$4*100000*AP$3</f>
        <v>0</v>
      </c>
      <c r="AQ13" s="356">
        <f>Data!CH12/AQ$4*100000*AQ$3</f>
        <v>8158.2704466653076</v>
      </c>
      <c r="AR13" s="356">
        <f>Data!CI12/AR$4*100000*AR$3</f>
        <v>0</v>
      </c>
      <c r="AS13" s="356">
        <f>Data!CJ12/AS$4*100000*AS$3</f>
        <v>0</v>
      </c>
      <c r="AT13" s="356">
        <f>Data!CK12/AT$4*100000*AT$3</f>
        <v>0</v>
      </c>
      <c r="AU13" s="356">
        <f>Data!CL12/AU$4*100000*AU$3</f>
        <v>5861.6074481491978</v>
      </c>
      <c r="AV13" s="356">
        <f>Data!CM12/AV$4*100000*AV$3</f>
        <v>22052.540176971634</v>
      </c>
      <c r="AW13" s="356">
        <f>Data!CN12/AW$4*100000*AW$3</f>
        <v>25113.849450843823</v>
      </c>
      <c r="AX13" s="356">
        <f>Data!CO12/AX$4*100000*AX$3</f>
        <v>27378.97636852102</v>
      </c>
      <c r="AY13" s="356">
        <f>Data!CP12/AY$4*100000*AY$3</f>
        <v>24544.143665054253</v>
      </c>
      <c r="AZ13" s="356">
        <f>Data!CQ12/AZ$4*100000*AZ$3</f>
        <v>51125.90606466859</v>
      </c>
      <c r="BA13" s="356">
        <f>Data!CR12/BA$4*100000*BA$3</f>
        <v>30874.093073515967</v>
      </c>
      <c r="BB13" s="356">
        <f>Data!CS12/BB$4*100000*BB$3</f>
        <v>18515.318340039994</v>
      </c>
      <c r="BC13" s="356">
        <f>Data!CT12/BC$4*100000*BC$3</f>
        <v>13923.926219572126</v>
      </c>
      <c r="BD13" s="356">
        <f>Data!CU12/BD$4*100000*BD$3</f>
        <v>12170.879143170108</v>
      </c>
    </row>
    <row r="14" spans="1:63" ht="12" customHeight="1">
      <c r="A14" s="67"/>
      <c r="B14" s="150" t="str">
        <f>UPPER(LEFT(TRIM(Data!B13),1)) &amp; MID(TRIM(Data!B13),2,50)</f>
        <v>Tulžies pūslės, ekstrahepatinių takų</v>
      </c>
      <c r="C14" s="129" t="str">
        <f>UPPER(LEFT(TRIM(Data!C13),1)) &amp; MID(TRIM(Data!C13),2,50)</f>
        <v>C23, C24</v>
      </c>
      <c r="D14" s="130">
        <f>Data!BQ13</f>
        <v>70</v>
      </c>
      <c r="E14" s="131">
        <f t="shared" si="4"/>
        <v>4.4671973697141887</v>
      </c>
      <c r="F14" s="132">
        <f t="shared" si="5"/>
        <v>2.2910477444828752</v>
      </c>
      <c r="G14" s="132">
        <f t="shared" si="6"/>
        <v>1.5099958813984125</v>
      </c>
      <c r="H14" s="73"/>
      <c r="I14" s="73"/>
      <c r="J14" s="73"/>
      <c r="K14" s="73"/>
      <c r="L14" s="73"/>
      <c r="M14" s="73"/>
      <c r="N14" s="73"/>
      <c r="O14" s="73"/>
      <c r="P14" s="269"/>
      <c r="Q14" s="358" t="s">
        <v>353</v>
      </c>
      <c r="R14" s="356">
        <f t="shared" si="2"/>
        <v>229104.7744482875</v>
      </c>
      <c r="S14" s="356">
        <f>Data!CD13/S$4*100000*S$3</f>
        <v>0</v>
      </c>
      <c r="T14" s="356">
        <f>Data!CE13/T$4*100000*T$3</f>
        <v>0</v>
      </c>
      <c r="U14" s="356">
        <f>Data!CF13/U$4*100000*U$3</f>
        <v>0</v>
      </c>
      <c r="V14" s="356">
        <f>Data!CG13/V$4*100000*V$3</f>
        <v>0</v>
      </c>
      <c r="W14" s="356">
        <f>Data!CH13/W$4*100000*W$3</f>
        <v>0</v>
      </c>
      <c r="X14" s="356">
        <f>Data!CI13/X$4*100000*X$3</f>
        <v>0</v>
      </c>
      <c r="Y14" s="356">
        <f>Data!CJ13/Y$4*100000*Y$3</f>
        <v>0</v>
      </c>
      <c r="Z14" s="356">
        <f>Data!CK13/Z$4*100000*Z$3</f>
        <v>0</v>
      </c>
      <c r="AA14" s="356">
        <f>Data!CL13/AA$4*100000*AA$3</f>
        <v>0</v>
      </c>
      <c r="AB14" s="356">
        <f>Data!CM13/AB$4*100000*AB$3</f>
        <v>19295.972654850182</v>
      </c>
      <c r="AC14" s="356">
        <f>Data!CN13/AC$4*100000*AC$3</f>
        <v>11719.796410393787</v>
      </c>
      <c r="AD14" s="356">
        <f>Data!CO13/AD$4*100000*AD$3</f>
        <v>15400.674207293074</v>
      </c>
      <c r="AE14" s="356">
        <f>Data!CP13/AE$4*100000*AE$3</f>
        <v>25566.816317764846</v>
      </c>
      <c r="AF14" s="356">
        <f>Data!CQ13/AF$4*100000*AF$3</f>
        <v>36356.19986820878</v>
      </c>
      <c r="AG14" s="356">
        <f>Data!CR13/AG$4*100000*AG$3</f>
        <v>46311.139610273953</v>
      </c>
      <c r="AH14" s="356">
        <f>Data!CS13/AH$4*100000*AH$3</f>
        <v>32093.218456069324</v>
      </c>
      <c r="AI14" s="356">
        <f>Data!CT13/AI$4*100000*AI$3</f>
        <v>18019.198637093341</v>
      </c>
      <c r="AJ14" s="356">
        <f>Data!CU13/AJ$4*100000*AJ$3</f>
        <v>24341.758286340217</v>
      </c>
      <c r="AK14" s="358" t="s">
        <v>353</v>
      </c>
      <c r="AL14" s="356">
        <f t="shared" si="3"/>
        <v>150999.58813984125</v>
      </c>
      <c r="AM14" s="356">
        <f>Data!CD13/AM$4*100000*AM$3</f>
        <v>0</v>
      </c>
      <c r="AN14" s="356">
        <f>Data!CE13/AN$4*100000*AN$3</f>
        <v>0</v>
      </c>
      <c r="AO14" s="356">
        <f>Data!CF13/AO$4*100000*AO$3</f>
        <v>0</v>
      </c>
      <c r="AP14" s="356">
        <f>Data!CG13/AP$4*100000*AP$3</f>
        <v>0</v>
      </c>
      <c r="AQ14" s="356">
        <f>Data!CH13/AQ$4*100000*AQ$3</f>
        <v>0</v>
      </c>
      <c r="AR14" s="356">
        <f>Data!CI13/AR$4*100000*AR$3</f>
        <v>0</v>
      </c>
      <c r="AS14" s="356">
        <f>Data!CJ13/AS$4*100000*AS$3</f>
        <v>0</v>
      </c>
      <c r="AT14" s="356">
        <f>Data!CK13/AT$4*100000*AT$3</f>
        <v>0</v>
      </c>
      <c r="AU14" s="356">
        <f>Data!CL13/AU$4*100000*AU$3</f>
        <v>0</v>
      </c>
      <c r="AV14" s="356">
        <f>Data!CM13/AV$4*100000*AV$3</f>
        <v>16539.405132728727</v>
      </c>
      <c r="AW14" s="356">
        <f>Data!CN13/AW$4*100000*AW$3</f>
        <v>8371.2831502812751</v>
      </c>
      <c r="AX14" s="356">
        <f>Data!CO13/AX$4*100000*AX$3</f>
        <v>10267.116138195383</v>
      </c>
      <c r="AY14" s="356">
        <f>Data!CP13/AY$4*100000*AY$3</f>
        <v>20453.453054211877</v>
      </c>
      <c r="AZ14" s="356">
        <f>Data!CQ13/AZ$4*100000*AZ$3</f>
        <v>27267.149901156583</v>
      </c>
      <c r="BA14" s="356">
        <f>Data!CR13/BA$4*100000*BA$3</f>
        <v>30874.093073515967</v>
      </c>
      <c r="BB14" s="356">
        <f>Data!CS13/BB$4*100000*BB$3</f>
        <v>16046.609228034662</v>
      </c>
      <c r="BC14" s="356">
        <f>Data!CT13/BC$4*100000*BC$3</f>
        <v>9009.5993185466705</v>
      </c>
      <c r="BD14" s="356">
        <f>Data!CU13/BD$4*100000*BD$3</f>
        <v>12170.879143170108</v>
      </c>
    </row>
    <row r="15" spans="1:63" ht="12" customHeight="1">
      <c r="A15" s="67"/>
      <c r="B15" s="293" t="str">
        <f>UPPER(LEFT(TRIM(Data!B14),1)) &amp; MID(TRIM(Data!B14),2,50)</f>
        <v>Kasos</v>
      </c>
      <c r="C15" s="294" t="str">
        <f>UPPER(LEFT(TRIM(Data!C14),1)) &amp; MID(TRIM(Data!C14),2,50)</f>
        <v>C25</v>
      </c>
      <c r="D15" s="295">
        <f>Data!BQ14</f>
        <v>287</v>
      </c>
      <c r="E15" s="296">
        <f t="shared" si="4"/>
        <v>18.315509215828175</v>
      </c>
      <c r="F15" s="297">
        <f t="shared" si="5"/>
        <v>9.8127724810928569</v>
      </c>
      <c r="G15" s="297">
        <f t="shared" si="6"/>
        <v>6.565008949473004</v>
      </c>
      <c r="H15" s="73"/>
      <c r="I15" s="73"/>
      <c r="J15" s="73"/>
      <c r="K15" s="73"/>
      <c r="L15" s="73"/>
      <c r="M15" s="73"/>
      <c r="N15" s="73"/>
      <c r="O15" s="73"/>
      <c r="P15" s="269"/>
      <c r="Q15" s="358" t="s">
        <v>353</v>
      </c>
      <c r="R15" s="356">
        <f t="shared" si="2"/>
        <v>981277.24810928572</v>
      </c>
      <c r="S15" s="356">
        <f>Data!CD14/S$4*100000*S$3</f>
        <v>0</v>
      </c>
      <c r="T15" s="356">
        <f>Data!CE14/T$4*100000*T$3</f>
        <v>0</v>
      </c>
      <c r="U15" s="356">
        <f>Data!CF14/U$4*100000*U$3</f>
        <v>0</v>
      </c>
      <c r="V15" s="356">
        <f>Data!CG14/V$4*100000*V$3</f>
        <v>0</v>
      </c>
      <c r="W15" s="356">
        <f>Data!CH14/W$4*100000*W$3</f>
        <v>7138.4866408321441</v>
      </c>
      <c r="X15" s="356">
        <f>Data!CI14/X$4*100000*X$3</f>
        <v>7357.2689817539731</v>
      </c>
      <c r="Y15" s="356">
        <f>Data!CJ14/Y$4*100000*Y$3</f>
        <v>7974.299970381172</v>
      </c>
      <c r="Z15" s="356">
        <f>Data!CK14/Z$4*100000*Z$3</f>
        <v>0</v>
      </c>
      <c r="AA15" s="356">
        <f>Data!CL14/AA$4*100000*AA$3</f>
        <v>6838.5420228407311</v>
      </c>
      <c r="AB15" s="356">
        <f>Data!CM14/AB$4*100000*AB$3</f>
        <v>19295.972654850182</v>
      </c>
      <c r="AC15" s="356">
        <f>Data!CN14/AC$4*100000*AC$3</f>
        <v>76178.676667559601</v>
      </c>
      <c r="AD15" s="356">
        <f>Data!CO14/AD$4*100000*AD$3</f>
        <v>107804.71945105153</v>
      </c>
      <c r="AE15" s="356">
        <f>Data!CP14/AE$4*100000*AE$3</f>
        <v>138060.80811593018</v>
      </c>
      <c r="AF15" s="356">
        <f>Data!CQ14/AF$4*100000*AF$3</f>
        <v>177236.47435751779</v>
      </c>
      <c r="AG15" s="356">
        <f>Data!CR14/AG$4*100000*AG$3</f>
        <v>146058.20954009474</v>
      </c>
      <c r="AH15" s="356">
        <f>Data!CS14/AH$4*100000*AH$3</f>
        <v>130841.5829362826</v>
      </c>
      <c r="AI15" s="356">
        <f>Data!CT14/AI$4*100000*AI$3</f>
        <v>75353.012482390332</v>
      </c>
      <c r="AJ15" s="356">
        <f>Data!CU14/AJ$4*100000*AJ$3</f>
        <v>81139.194287800725</v>
      </c>
      <c r="AK15" s="358" t="s">
        <v>353</v>
      </c>
      <c r="AL15" s="356">
        <f t="shared" si="3"/>
        <v>656500.89494730043</v>
      </c>
      <c r="AM15" s="356">
        <f>Data!CD14/AM$4*100000*AM$3</f>
        <v>0</v>
      </c>
      <c r="AN15" s="356">
        <f>Data!CE14/AN$4*100000*AN$3</f>
        <v>0</v>
      </c>
      <c r="AO15" s="356">
        <f>Data!CF14/AO$4*100000*AO$3</f>
        <v>0</v>
      </c>
      <c r="AP15" s="356">
        <f>Data!CG14/AP$4*100000*AP$3</f>
        <v>0</v>
      </c>
      <c r="AQ15" s="356">
        <f>Data!CH14/AQ$4*100000*AQ$3</f>
        <v>8158.2704466653076</v>
      </c>
      <c r="AR15" s="356">
        <f>Data!CI14/AR$4*100000*AR$3</f>
        <v>8408.3074077188267</v>
      </c>
      <c r="AS15" s="356">
        <f>Data!CJ14/AS$4*100000*AS$3</f>
        <v>6835.114260326719</v>
      </c>
      <c r="AT15" s="356">
        <f>Data!CK14/AT$4*100000*AT$3</f>
        <v>0</v>
      </c>
      <c r="AU15" s="356">
        <f>Data!CL14/AU$4*100000*AU$3</f>
        <v>5861.6074481491978</v>
      </c>
      <c r="AV15" s="356">
        <f>Data!CM14/AV$4*100000*AV$3</f>
        <v>16539.405132728727</v>
      </c>
      <c r="AW15" s="356">
        <f>Data!CN14/AW$4*100000*AW$3</f>
        <v>54413.340476828285</v>
      </c>
      <c r="AX15" s="356">
        <f>Data!CO14/AX$4*100000*AX$3</f>
        <v>71869.812967367674</v>
      </c>
      <c r="AY15" s="356">
        <f>Data!CP14/AY$4*100000*AY$3</f>
        <v>110448.64649274414</v>
      </c>
      <c r="AZ15" s="356">
        <f>Data!CQ14/AZ$4*100000*AZ$3</f>
        <v>132927.35576813834</v>
      </c>
      <c r="BA15" s="356">
        <f>Data!CR14/BA$4*100000*BA$3</f>
        <v>97372.139693396501</v>
      </c>
      <c r="BB15" s="356">
        <f>Data!CS14/BB$4*100000*BB$3</f>
        <v>65420.791468141302</v>
      </c>
      <c r="BC15" s="356">
        <f>Data!CT14/BC$4*100000*BC$3</f>
        <v>37676.506241195166</v>
      </c>
      <c r="BD15" s="356">
        <f>Data!CU14/BD$4*100000*BD$3</f>
        <v>40569.597143900362</v>
      </c>
    </row>
    <row r="16" spans="1:63" ht="12" customHeight="1">
      <c r="A16" s="67"/>
      <c r="B16" s="150" t="str">
        <f>UPPER(LEFT(TRIM(Data!B15),1)) &amp; MID(TRIM(Data!B15),2,50)</f>
        <v>Kitų virškinimo sistemos organų</v>
      </c>
      <c r="C16" s="129" t="str">
        <f>UPPER(LEFT(TRIM(Data!C15),1)) &amp; MID(TRIM(Data!C15),2,50)</f>
        <v>C17, C26, C48</v>
      </c>
      <c r="D16" s="130">
        <f>Data!BQ15</f>
        <v>43</v>
      </c>
      <c r="E16" s="131">
        <f t="shared" si="4"/>
        <v>2.7441355271101444</v>
      </c>
      <c r="F16" s="132">
        <f t="shared" si="5"/>
        <v>1.5019505091293401</v>
      </c>
      <c r="G16" s="132">
        <f t="shared" si="6"/>
        <v>1.0256610105990647</v>
      </c>
      <c r="H16" s="73"/>
      <c r="I16" s="73"/>
      <c r="J16" s="73"/>
      <c r="K16" s="73"/>
      <c r="L16" s="73"/>
      <c r="M16" s="73"/>
      <c r="N16" s="73"/>
      <c r="O16" s="73"/>
      <c r="P16" s="269"/>
      <c r="Q16" s="358" t="s">
        <v>353</v>
      </c>
      <c r="R16" s="356">
        <f t="shared" si="2"/>
        <v>150195.05091293401</v>
      </c>
      <c r="S16" s="356">
        <f>Data!CD15/S$4*100000*S$3</f>
        <v>0</v>
      </c>
      <c r="T16" s="356">
        <f>Data!CE15/T$4*100000*T$3</f>
        <v>0</v>
      </c>
      <c r="U16" s="356">
        <f>Data!CF15/U$4*100000*U$3</f>
        <v>0</v>
      </c>
      <c r="V16" s="356">
        <f>Data!CG15/V$4*100000*V$3</f>
        <v>0</v>
      </c>
      <c r="W16" s="356">
        <f>Data!CH15/W$4*100000*W$3</f>
        <v>0</v>
      </c>
      <c r="X16" s="356">
        <f>Data!CI15/X$4*100000*X$3</f>
        <v>0</v>
      </c>
      <c r="Y16" s="356">
        <f>Data!CJ15/Y$4*100000*Y$3</f>
        <v>0</v>
      </c>
      <c r="Z16" s="356">
        <f>Data!CK15/Z$4*100000*Z$3</f>
        <v>7848.149518459968</v>
      </c>
      <c r="AA16" s="356">
        <f>Data!CL15/AA$4*100000*AA$3</f>
        <v>6838.5420228407311</v>
      </c>
      <c r="AB16" s="356">
        <f>Data!CM15/AB$4*100000*AB$3</f>
        <v>12863.98176990012</v>
      </c>
      <c r="AC16" s="356">
        <f>Data!CN15/AC$4*100000*AC$3</f>
        <v>23439.592820787573</v>
      </c>
      <c r="AD16" s="356">
        <f>Data!CO15/AD$4*100000*AD$3</f>
        <v>0</v>
      </c>
      <c r="AE16" s="356">
        <f>Data!CP15/AE$4*100000*AE$3</f>
        <v>15340.089790658909</v>
      </c>
      <c r="AF16" s="356">
        <f>Data!CQ15/AF$4*100000*AF$3</f>
        <v>27267.149901156587</v>
      </c>
      <c r="AG16" s="356">
        <f>Data!CR15/AG$4*100000*AG$3</f>
        <v>7124.7907092729147</v>
      </c>
      <c r="AH16" s="356">
        <f>Data!CS15/AH$4*100000*AH$3</f>
        <v>19749.672896042663</v>
      </c>
      <c r="AI16" s="356">
        <f>Data!CT15/AI$4*100000*AI$3</f>
        <v>11466.762769059398</v>
      </c>
      <c r="AJ16" s="356">
        <f>Data!CU15/AJ$4*100000*AJ$3</f>
        <v>18256.318714755162</v>
      </c>
      <c r="AK16" s="358" t="s">
        <v>353</v>
      </c>
      <c r="AL16" s="356">
        <f t="shared" si="3"/>
        <v>102566.10105990646</v>
      </c>
      <c r="AM16" s="356">
        <f>Data!CD15/AM$4*100000*AM$3</f>
        <v>0</v>
      </c>
      <c r="AN16" s="356">
        <f>Data!CE15/AN$4*100000*AN$3</f>
        <v>0</v>
      </c>
      <c r="AO16" s="356">
        <f>Data!CF15/AO$4*100000*AO$3</f>
        <v>0</v>
      </c>
      <c r="AP16" s="356">
        <f>Data!CG15/AP$4*100000*AP$3</f>
        <v>0</v>
      </c>
      <c r="AQ16" s="356">
        <f>Data!CH15/AQ$4*100000*AQ$3</f>
        <v>0</v>
      </c>
      <c r="AR16" s="356">
        <f>Data!CI15/AR$4*100000*AR$3</f>
        <v>0</v>
      </c>
      <c r="AS16" s="356">
        <f>Data!CJ15/AS$4*100000*AS$3</f>
        <v>0</v>
      </c>
      <c r="AT16" s="356">
        <f>Data!CK15/AT$4*100000*AT$3</f>
        <v>6726.9853015371154</v>
      </c>
      <c r="AU16" s="356">
        <f>Data!CL15/AU$4*100000*AU$3</f>
        <v>5861.6074481491978</v>
      </c>
      <c r="AV16" s="356">
        <f>Data!CM15/AV$4*100000*AV$3</f>
        <v>11026.270088485817</v>
      </c>
      <c r="AW16" s="356">
        <f>Data!CN15/AW$4*100000*AW$3</f>
        <v>16742.56630056255</v>
      </c>
      <c r="AX16" s="356">
        <f>Data!CO15/AX$4*100000*AX$3</f>
        <v>0</v>
      </c>
      <c r="AY16" s="356">
        <f>Data!CP15/AY$4*100000*AY$3</f>
        <v>12272.071832527126</v>
      </c>
      <c r="AZ16" s="356">
        <f>Data!CQ15/AZ$4*100000*AZ$3</f>
        <v>20450.362425867439</v>
      </c>
      <c r="BA16" s="356">
        <f>Data!CR15/BA$4*100000*BA$3</f>
        <v>4749.8604728486098</v>
      </c>
      <c r="BB16" s="356">
        <f>Data!CS15/BB$4*100000*BB$3</f>
        <v>9874.8364480213313</v>
      </c>
      <c r="BC16" s="356">
        <f>Data!CT15/BC$4*100000*BC$3</f>
        <v>5733.3813845296991</v>
      </c>
      <c r="BD16" s="356">
        <f>Data!CU15/BD$4*100000*BD$3</f>
        <v>9128.1593573775808</v>
      </c>
    </row>
    <row r="17" spans="1:56" ht="12" customHeight="1">
      <c r="A17" s="67"/>
      <c r="B17" s="293" t="str">
        <f>UPPER(LEFT(TRIM(Data!B16),1)) &amp; MID(TRIM(Data!B16),2,50)</f>
        <v>Nosies ertmės, vid.ausies ir ančių</v>
      </c>
      <c r="C17" s="294" t="str">
        <f>UPPER(LEFT(TRIM(Data!C16),1)) &amp; MID(TRIM(Data!C16),2,50)</f>
        <v>C30, C31</v>
      </c>
      <c r="D17" s="295">
        <f>Data!BQ16</f>
        <v>12</v>
      </c>
      <c r="E17" s="296">
        <f t="shared" si="4"/>
        <v>0.76580526337957533</v>
      </c>
      <c r="F17" s="297">
        <f t="shared" si="5"/>
        <v>0.49812857979024067</v>
      </c>
      <c r="G17" s="297">
        <f t="shared" si="6"/>
        <v>0.36808511671705468</v>
      </c>
      <c r="H17" s="73"/>
      <c r="I17" s="73"/>
      <c r="J17" s="73"/>
      <c r="K17" s="73"/>
      <c r="L17" s="73"/>
      <c r="M17" s="73"/>
      <c r="N17" s="73"/>
      <c r="O17" s="73"/>
      <c r="P17" s="269"/>
      <c r="Q17" s="358" t="s">
        <v>353</v>
      </c>
      <c r="R17" s="356">
        <f t="shared" si="2"/>
        <v>49812.857979024069</v>
      </c>
      <c r="S17" s="356">
        <f>Data!CD16/S$4*100000*S$3</f>
        <v>0</v>
      </c>
      <c r="T17" s="356">
        <f>Data!CE16/T$4*100000*T$3</f>
        <v>0</v>
      </c>
      <c r="U17" s="356">
        <f>Data!CF16/U$4*100000*U$3</f>
        <v>0</v>
      </c>
      <c r="V17" s="356">
        <f>Data!CG16/V$4*100000*V$3</f>
        <v>0</v>
      </c>
      <c r="W17" s="356">
        <f>Data!CH16/W$4*100000*W$3</f>
        <v>0</v>
      </c>
      <c r="X17" s="356">
        <f>Data!CI16/X$4*100000*X$3</f>
        <v>0</v>
      </c>
      <c r="Y17" s="356">
        <f>Data!CJ16/Y$4*100000*Y$3</f>
        <v>0</v>
      </c>
      <c r="Z17" s="356">
        <f>Data!CK16/Z$4*100000*Z$3</f>
        <v>0</v>
      </c>
      <c r="AA17" s="356">
        <f>Data!CL16/AA$4*100000*AA$3</f>
        <v>6838.5420228407311</v>
      </c>
      <c r="AB17" s="356">
        <f>Data!CM16/AB$4*100000*AB$3</f>
        <v>0</v>
      </c>
      <c r="AC17" s="356">
        <f>Data!CN16/AC$4*100000*AC$3</f>
        <v>0</v>
      </c>
      <c r="AD17" s="356">
        <f>Data!CO16/AD$4*100000*AD$3</f>
        <v>5133.5580690976913</v>
      </c>
      <c r="AE17" s="356">
        <f>Data!CP16/AE$4*100000*AE$3</f>
        <v>15340.089790658909</v>
      </c>
      <c r="AF17" s="356">
        <f>Data!CQ16/AF$4*100000*AF$3</f>
        <v>13633.574950578293</v>
      </c>
      <c r="AG17" s="356">
        <f>Data!CR16/AG$4*100000*AG$3</f>
        <v>3562.3953546364573</v>
      </c>
      <c r="AH17" s="356">
        <f>Data!CS16/AH$4*100000*AH$3</f>
        <v>0</v>
      </c>
      <c r="AI17" s="356">
        <f>Data!CT16/AI$4*100000*AI$3</f>
        <v>3276.2179340169714</v>
      </c>
      <c r="AJ17" s="356">
        <f>Data!CU16/AJ$4*100000*AJ$3</f>
        <v>2028.479857195018</v>
      </c>
      <c r="AK17" s="358" t="s">
        <v>353</v>
      </c>
      <c r="AL17" s="356">
        <f t="shared" si="3"/>
        <v>36808.51167170547</v>
      </c>
      <c r="AM17" s="356">
        <f>Data!CD16/AM$4*100000*AM$3</f>
        <v>0</v>
      </c>
      <c r="AN17" s="356">
        <f>Data!CE16/AN$4*100000*AN$3</f>
        <v>0</v>
      </c>
      <c r="AO17" s="356">
        <f>Data!CF16/AO$4*100000*AO$3</f>
        <v>0</v>
      </c>
      <c r="AP17" s="356">
        <f>Data!CG16/AP$4*100000*AP$3</f>
        <v>0</v>
      </c>
      <c r="AQ17" s="356">
        <f>Data!CH16/AQ$4*100000*AQ$3</f>
        <v>0</v>
      </c>
      <c r="AR17" s="356">
        <f>Data!CI16/AR$4*100000*AR$3</f>
        <v>0</v>
      </c>
      <c r="AS17" s="356">
        <f>Data!CJ16/AS$4*100000*AS$3</f>
        <v>0</v>
      </c>
      <c r="AT17" s="356">
        <f>Data!CK16/AT$4*100000*AT$3</f>
        <v>0</v>
      </c>
      <c r="AU17" s="356">
        <f>Data!CL16/AU$4*100000*AU$3</f>
        <v>5861.6074481491978</v>
      </c>
      <c r="AV17" s="356">
        <f>Data!CM16/AV$4*100000*AV$3</f>
        <v>0</v>
      </c>
      <c r="AW17" s="356">
        <f>Data!CN16/AW$4*100000*AW$3</f>
        <v>0</v>
      </c>
      <c r="AX17" s="356">
        <f>Data!CO16/AX$4*100000*AX$3</f>
        <v>3422.3720460651275</v>
      </c>
      <c r="AY17" s="356">
        <f>Data!CP16/AY$4*100000*AY$3</f>
        <v>12272.071832527126</v>
      </c>
      <c r="AZ17" s="356">
        <f>Data!CQ16/AZ$4*100000*AZ$3</f>
        <v>10225.18121293372</v>
      </c>
      <c r="BA17" s="356">
        <f>Data!CR16/BA$4*100000*BA$3</f>
        <v>2374.9302364243049</v>
      </c>
      <c r="BB17" s="356">
        <f>Data!CS16/BB$4*100000*BB$3</f>
        <v>0</v>
      </c>
      <c r="BC17" s="356">
        <f>Data!CT16/BC$4*100000*BC$3</f>
        <v>1638.1089670084857</v>
      </c>
      <c r="BD17" s="356">
        <f>Data!CU16/BD$4*100000*BD$3</f>
        <v>1014.239928597509</v>
      </c>
    </row>
    <row r="18" spans="1:56" ht="12" customHeight="1">
      <c r="A18" s="67"/>
      <c r="B18" s="150" t="str">
        <f>UPPER(LEFT(TRIM(Data!B17),1)) &amp; MID(TRIM(Data!B17),2,50)</f>
        <v>Gerklų</v>
      </c>
      <c r="C18" s="129" t="str">
        <f>UPPER(LEFT(TRIM(Data!C17),1)) &amp; MID(TRIM(Data!C17),2,50)</f>
        <v>C32</v>
      </c>
      <c r="D18" s="130">
        <f>Data!BQ17</f>
        <v>15</v>
      </c>
      <c r="E18" s="131">
        <f t="shared" si="4"/>
        <v>0.95725657922446905</v>
      </c>
      <c r="F18" s="132">
        <f t="shared" si="5"/>
        <v>0.65014481294269422</v>
      </c>
      <c r="G18" s="132">
        <f t="shared" si="6"/>
        <v>0.49141470835352435</v>
      </c>
      <c r="H18" s="73"/>
      <c r="I18" s="73"/>
      <c r="J18" s="73"/>
      <c r="K18" s="73"/>
      <c r="L18" s="73"/>
      <c r="M18" s="73"/>
      <c r="N18" s="73"/>
      <c r="O18" s="73"/>
      <c r="P18" s="269"/>
      <c r="Q18" s="358" t="s">
        <v>353</v>
      </c>
      <c r="R18" s="356">
        <f t="shared" si="2"/>
        <v>65014.481294269426</v>
      </c>
      <c r="S18" s="356">
        <f>Data!CD17/S$4*100000*S$3</f>
        <v>0</v>
      </c>
      <c r="T18" s="356">
        <f>Data!CE17/T$4*100000*T$3</f>
        <v>0</v>
      </c>
      <c r="U18" s="356">
        <f>Data!CF17/U$4*100000*U$3</f>
        <v>0</v>
      </c>
      <c r="V18" s="356">
        <f>Data!CG17/V$4*100000*V$3</f>
        <v>0</v>
      </c>
      <c r="W18" s="356">
        <f>Data!CH17/W$4*100000*W$3</f>
        <v>7138.4866408321441</v>
      </c>
      <c r="X18" s="356">
        <f>Data!CI17/X$4*100000*X$3</f>
        <v>0</v>
      </c>
      <c r="Y18" s="356">
        <f>Data!CJ17/Y$4*100000*Y$3</f>
        <v>0</v>
      </c>
      <c r="Z18" s="356">
        <f>Data!CK17/Z$4*100000*Z$3</f>
        <v>0</v>
      </c>
      <c r="AA18" s="356">
        <f>Data!CL17/AA$4*100000*AA$3</f>
        <v>0</v>
      </c>
      <c r="AB18" s="356">
        <f>Data!CM17/AB$4*100000*AB$3</f>
        <v>0</v>
      </c>
      <c r="AC18" s="356">
        <f>Data!CN17/AC$4*100000*AC$3</f>
        <v>0</v>
      </c>
      <c r="AD18" s="356">
        <f>Data!CO17/AD$4*100000*AD$3</f>
        <v>10267.116138195383</v>
      </c>
      <c r="AE18" s="356">
        <f>Data!CP17/AE$4*100000*AE$3</f>
        <v>15340.089790658909</v>
      </c>
      <c r="AF18" s="356">
        <f>Data!CQ17/AF$4*100000*AF$3</f>
        <v>18178.09993410439</v>
      </c>
      <c r="AG18" s="356">
        <f>Data!CR17/AG$4*100000*AG$3</f>
        <v>7124.7907092729147</v>
      </c>
      <c r="AH18" s="356">
        <f>Data!CS17/AH$4*100000*AH$3</f>
        <v>4937.4182240106657</v>
      </c>
      <c r="AI18" s="356">
        <f>Data!CT17/AI$4*100000*AI$3</f>
        <v>0</v>
      </c>
      <c r="AJ18" s="356">
        <f>Data!CU17/AJ$4*100000*AJ$3</f>
        <v>2028.479857195018</v>
      </c>
      <c r="AK18" s="358" t="s">
        <v>353</v>
      </c>
      <c r="AL18" s="356">
        <f t="shared" si="3"/>
        <v>49141.470835352433</v>
      </c>
      <c r="AM18" s="356">
        <f>Data!CD17/AM$4*100000*AM$3</f>
        <v>0</v>
      </c>
      <c r="AN18" s="356">
        <f>Data!CE17/AN$4*100000*AN$3</f>
        <v>0</v>
      </c>
      <c r="AO18" s="356">
        <f>Data!CF17/AO$4*100000*AO$3</f>
        <v>0</v>
      </c>
      <c r="AP18" s="356">
        <f>Data!CG17/AP$4*100000*AP$3</f>
        <v>0</v>
      </c>
      <c r="AQ18" s="356">
        <f>Data!CH17/AQ$4*100000*AQ$3</f>
        <v>8158.2704466653076</v>
      </c>
      <c r="AR18" s="356">
        <f>Data!CI17/AR$4*100000*AR$3</f>
        <v>0</v>
      </c>
      <c r="AS18" s="356">
        <f>Data!CJ17/AS$4*100000*AS$3</f>
        <v>0</v>
      </c>
      <c r="AT18" s="356">
        <f>Data!CK17/AT$4*100000*AT$3</f>
        <v>0</v>
      </c>
      <c r="AU18" s="356">
        <f>Data!CL17/AU$4*100000*AU$3</f>
        <v>0</v>
      </c>
      <c r="AV18" s="356">
        <f>Data!CM17/AV$4*100000*AV$3</f>
        <v>0</v>
      </c>
      <c r="AW18" s="356">
        <f>Data!CN17/AW$4*100000*AW$3</f>
        <v>0</v>
      </c>
      <c r="AX18" s="356">
        <f>Data!CO17/AX$4*100000*AX$3</f>
        <v>6844.744092130255</v>
      </c>
      <c r="AY18" s="356">
        <f>Data!CP17/AY$4*100000*AY$3</f>
        <v>12272.071832527126</v>
      </c>
      <c r="AZ18" s="356">
        <f>Data!CQ17/AZ$4*100000*AZ$3</f>
        <v>13633.574950578291</v>
      </c>
      <c r="BA18" s="356">
        <f>Data!CR17/BA$4*100000*BA$3</f>
        <v>4749.8604728486098</v>
      </c>
      <c r="BB18" s="356">
        <f>Data!CS17/BB$4*100000*BB$3</f>
        <v>2468.7091120053328</v>
      </c>
      <c r="BC18" s="356">
        <f>Data!CT17/BC$4*100000*BC$3</f>
        <v>0</v>
      </c>
      <c r="BD18" s="356">
        <f>Data!CU17/BD$4*100000*BD$3</f>
        <v>1014.239928597509</v>
      </c>
    </row>
    <row r="19" spans="1:56" ht="12" customHeight="1">
      <c r="A19" s="67"/>
      <c r="B19" s="293" t="str">
        <f>UPPER(LEFT(TRIM(Data!B18),1)) &amp; MID(TRIM(Data!B18),2,50)</f>
        <v>Plaučių, trachėjos, bronchų</v>
      </c>
      <c r="C19" s="294" t="str">
        <f>UPPER(LEFT(TRIM(Data!C18),1)) &amp; MID(TRIM(Data!C18),2,50)</f>
        <v>C33, C34</v>
      </c>
      <c r="D19" s="295">
        <f>Data!BQ18</f>
        <v>310</v>
      </c>
      <c r="E19" s="296">
        <f t="shared" si="4"/>
        <v>19.783302637305695</v>
      </c>
      <c r="F19" s="297">
        <f t="shared" si="5"/>
        <v>11.643372920865021</v>
      </c>
      <c r="G19" s="297">
        <f t="shared" si="6"/>
        <v>8.1119335129066652</v>
      </c>
      <c r="H19" s="73"/>
      <c r="I19" s="73"/>
      <c r="J19" s="73"/>
      <c r="K19" s="73"/>
      <c r="L19" s="73"/>
      <c r="M19" s="73"/>
      <c r="N19" s="73"/>
      <c r="O19" s="73"/>
      <c r="P19" s="269"/>
      <c r="Q19" s="358" t="s">
        <v>353</v>
      </c>
      <c r="R19" s="356">
        <f t="shared" si="2"/>
        <v>1164337.2920865021</v>
      </c>
      <c r="S19" s="356">
        <f>Data!CD18/S$4*100000*S$3</f>
        <v>0</v>
      </c>
      <c r="T19" s="356">
        <f>Data!CE18/T$4*100000*T$3</f>
        <v>0</v>
      </c>
      <c r="U19" s="356">
        <f>Data!CF18/U$4*100000*U$3</f>
        <v>0</v>
      </c>
      <c r="V19" s="356">
        <f>Data!CG18/V$4*100000*V$3</f>
        <v>0</v>
      </c>
      <c r="W19" s="356">
        <f>Data!CH18/W$4*100000*W$3</f>
        <v>0</v>
      </c>
      <c r="X19" s="356">
        <f>Data!CI18/X$4*100000*X$3</f>
        <v>14714.537963507946</v>
      </c>
      <c r="Y19" s="356">
        <f>Data!CJ18/Y$4*100000*Y$3</f>
        <v>7974.299970381172</v>
      </c>
      <c r="Z19" s="356">
        <f>Data!CK18/Z$4*100000*Z$3</f>
        <v>15696.299036919936</v>
      </c>
      <c r="AA19" s="356">
        <f>Data!CL18/AA$4*100000*AA$3</f>
        <v>34192.710114203655</v>
      </c>
      <c r="AB19" s="356">
        <f>Data!CM18/AB$4*100000*AB$3</f>
        <v>57887.917964550536</v>
      </c>
      <c r="AC19" s="356">
        <f>Data!CN18/AC$4*100000*AC$3</f>
        <v>87898.473077953386</v>
      </c>
      <c r="AD19" s="356">
        <f>Data!CO18/AD$4*100000*AD$3</f>
        <v>143739.62593473538</v>
      </c>
      <c r="AE19" s="356">
        <f>Data!CP18/AE$4*100000*AE$3</f>
        <v>178967.71422435393</v>
      </c>
      <c r="AF19" s="356">
        <f>Data!CQ18/AF$4*100000*AF$3</f>
        <v>227226.24917630485</v>
      </c>
      <c r="AG19" s="356">
        <f>Data!CR18/AG$4*100000*AG$3</f>
        <v>149620.60489473122</v>
      </c>
      <c r="AH19" s="356">
        <f>Data!CS18/AH$4*100000*AH$3</f>
        <v>106154.49181622929</v>
      </c>
      <c r="AI19" s="356">
        <f>Data!CT18/AI$4*100000*AI$3</f>
        <v>75353.012482390332</v>
      </c>
      <c r="AJ19" s="356">
        <f>Data!CU18/AJ$4*100000*AJ$3</f>
        <v>64911.355430240576</v>
      </c>
      <c r="AK19" s="358" t="s">
        <v>353</v>
      </c>
      <c r="AL19" s="356">
        <f t="shared" si="3"/>
        <v>811193.3512906665</v>
      </c>
      <c r="AM19" s="356">
        <f>Data!CD18/AM$4*100000*AM$3</f>
        <v>0</v>
      </c>
      <c r="AN19" s="356">
        <f>Data!CE18/AN$4*100000*AN$3</f>
        <v>0</v>
      </c>
      <c r="AO19" s="356">
        <f>Data!CF18/AO$4*100000*AO$3</f>
        <v>0</v>
      </c>
      <c r="AP19" s="356">
        <f>Data!CG18/AP$4*100000*AP$3</f>
        <v>0</v>
      </c>
      <c r="AQ19" s="356">
        <f>Data!CH18/AQ$4*100000*AQ$3</f>
        <v>0</v>
      </c>
      <c r="AR19" s="356">
        <f>Data!CI18/AR$4*100000*AR$3</f>
        <v>16816.614815437653</v>
      </c>
      <c r="AS19" s="356">
        <f>Data!CJ18/AS$4*100000*AS$3</f>
        <v>6835.114260326719</v>
      </c>
      <c r="AT19" s="356">
        <f>Data!CK18/AT$4*100000*AT$3</f>
        <v>13453.970603074231</v>
      </c>
      <c r="AU19" s="356">
        <f>Data!CL18/AU$4*100000*AU$3</f>
        <v>29308.037240745987</v>
      </c>
      <c r="AV19" s="356">
        <f>Data!CM18/AV$4*100000*AV$3</f>
        <v>49618.21539818617</v>
      </c>
      <c r="AW19" s="356">
        <f>Data!CN18/AW$4*100000*AW$3</f>
        <v>62784.623627109569</v>
      </c>
      <c r="AX19" s="356">
        <f>Data!CO18/AX$4*100000*AX$3</f>
        <v>95826.417289823585</v>
      </c>
      <c r="AY19" s="356">
        <f>Data!CP18/AY$4*100000*AY$3</f>
        <v>143174.17137948313</v>
      </c>
      <c r="AZ19" s="356">
        <f>Data!CQ18/AZ$4*100000*AZ$3</f>
        <v>170419.68688222862</v>
      </c>
      <c r="BA19" s="356">
        <f>Data!CR18/BA$4*100000*BA$3</f>
        <v>99747.06992982082</v>
      </c>
      <c r="BB19" s="356">
        <f>Data!CS18/BB$4*100000*BB$3</f>
        <v>53077.245908114644</v>
      </c>
      <c r="BC19" s="356">
        <f>Data!CT18/BC$4*100000*BC$3</f>
        <v>37676.506241195166</v>
      </c>
      <c r="BD19" s="356">
        <f>Data!CU18/BD$4*100000*BD$3</f>
        <v>32455.677715120288</v>
      </c>
    </row>
    <row r="20" spans="1:56" ht="12" customHeight="1">
      <c r="A20" s="67"/>
      <c r="B20" s="150" t="str">
        <f>UPPER(LEFT(TRIM(Data!B19),1)) &amp; MID(TRIM(Data!B19),2,50)</f>
        <v>Kitų kvėpavimo sistemos organų</v>
      </c>
      <c r="C20" s="129" t="str">
        <f>UPPER(LEFT(TRIM(Data!C19),1)) &amp; MID(TRIM(Data!C19),2,50)</f>
        <v>C37-C39</v>
      </c>
      <c r="D20" s="130">
        <f>Data!BQ19</f>
        <v>6</v>
      </c>
      <c r="E20" s="131">
        <f t="shared" si="4"/>
        <v>0.38290263168978766</v>
      </c>
      <c r="F20" s="132">
        <f t="shared" si="5"/>
        <v>0.25851848843018599</v>
      </c>
      <c r="G20" s="132">
        <f t="shared" si="6"/>
        <v>0.18301082689621259</v>
      </c>
      <c r="H20" s="73"/>
      <c r="I20" s="73"/>
      <c r="J20" s="73"/>
      <c r="K20" s="73"/>
      <c r="L20" s="73"/>
      <c r="M20" s="73"/>
      <c r="N20" s="73"/>
      <c r="O20" s="73"/>
      <c r="P20" s="269"/>
      <c r="Q20" s="358" t="s">
        <v>353</v>
      </c>
      <c r="R20" s="356">
        <f t="shared" si="2"/>
        <v>25851.848843018597</v>
      </c>
      <c r="S20" s="356">
        <f>Data!CD19/S$4*100000*S$3</f>
        <v>0</v>
      </c>
      <c r="T20" s="356">
        <f>Data!CE19/T$4*100000*T$3</f>
        <v>0</v>
      </c>
      <c r="U20" s="356">
        <f>Data!CF19/U$4*100000*U$3</f>
        <v>0</v>
      </c>
      <c r="V20" s="356">
        <f>Data!CG19/V$4*100000*V$3</f>
        <v>0</v>
      </c>
      <c r="W20" s="356">
        <f>Data!CH19/W$4*100000*W$3</f>
        <v>0</v>
      </c>
      <c r="X20" s="356">
        <f>Data!CI19/X$4*100000*X$3</f>
        <v>0</v>
      </c>
      <c r="Y20" s="356">
        <f>Data!CJ19/Y$4*100000*Y$3</f>
        <v>0</v>
      </c>
      <c r="Z20" s="356">
        <f>Data!CK19/Z$4*100000*Z$3</f>
        <v>0</v>
      </c>
      <c r="AA20" s="356">
        <f>Data!CL19/AA$4*100000*AA$3</f>
        <v>0</v>
      </c>
      <c r="AB20" s="356">
        <f>Data!CM19/AB$4*100000*AB$3</f>
        <v>0</v>
      </c>
      <c r="AC20" s="356">
        <f>Data!CN19/AC$4*100000*AC$3</f>
        <v>5859.8982051968933</v>
      </c>
      <c r="AD20" s="356">
        <f>Data!CO19/AD$4*100000*AD$3</f>
        <v>5133.5580690976913</v>
      </c>
      <c r="AE20" s="356">
        <f>Data!CP19/AE$4*100000*AE$3</f>
        <v>5113.3632635529693</v>
      </c>
      <c r="AF20" s="356">
        <f>Data!CQ19/AF$4*100000*AF$3</f>
        <v>4544.5249835260975</v>
      </c>
      <c r="AG20" s="356">
        <f>Data!CR19/AG$4*100000*AG$3</f>
        <v>3562.3953546364573</v>
      </c>
      <c r="AH20" s="356">
        <f>Data!CS19/AH$4*100000*AH$3</f>
        <v>0</v>
      </c>
      <c r="AI20" s="356">
        <f>Data!CT19/AI$4*100000*AI$3</f>
        <v>1638.1089670084857</v>
      </c>
      <c r="AJ20" s="356">
        <f>Data!CU19/AJ$4*100000*AJ$3</f>
        <v>0</v>
      </c>
      <c r="AK20" s="358" t="s">
        <v>353</v>
      </c>
      <c r="AL20" s="356">
        <f t="shared" si="3"/>
        <v>18301.08268962126</v>
      </c>
      <c r="AM20" s="356">
        <f>Data!CD19/AM$4*100000*AM$3</f>
        <v>0</v>
      </c>
      <c r="AN20" s="356">
        <f>Data!CE19/AN$4*100000*AN$3</f>
        <v>0</v>
      </c>
      <c r="AO20" s="356">
        <f>Data!CF19/AO$4*100000*AO$3</f>
        <v>0</v>
      </c>
      <c r="AP20" s="356">
        <f>Data!CG19/AP$4*100000*AP$3</f>
        <v>0</v>
      </c>
      <c r="AQ20" s="356">
        <f>Data!CH19/AQ$4*100000*AQ$3</f>
        <v>0</v>
      </c>
      <c r="AR20" s="356">
        <f>Data!CI19/AR$4*100000*AR$3</f>
        <v>0</v>
      </c>
      <c r="AS20" s="356">
        <f>Data!CJ19/AS$4*100000*AS$3</f>
        <v>0</v>
      </c>
      <c r="AT20" s="356">
        <f>Data!CK19/AT$4*100000*AT$3</f>
        <v>0</v>
      </c>
      <c r="AU20" s="356">
        <f>Data!CL19/AU$4*100000*AU$3</f>
        <v>0</v>
      </c>
      <c r="AV20" s="356">
        <f>Data!CM19/AV$4*100000*AV$3</f>
        <v>0</v>
      </c>
      <c r="AW20" s="356">
        <f>Data!CN19/AW$4*100000*AW$3</f>
        <v>4185.6415751406375</v>
      </c>
      <c r="AX20" s="356">
        <f>Data!CO19/AX$4*100000*AX$3</f>
        <v>3422.3720460651275</v>
      </c>
      <c r="AY20" s="356">
        <f>Data!CP19/AY$4*100000*AY$3</f>
        <v>4090.6906108423755</v>
      </c>
      <c r="AZ20" s="356">
        <f>Data!CQ19/AZ$4*100000*AZ$3</f>
        <v>3408.3937376445729</v>
      </c>
      <c r="BA20" s="356">
        <f>Data!CR19/BA$4*100000*BA$3</f>
        <v>2374.9302364243049</v>
      </c>
      <c r="BB20" s="356">
        <f>Data!CS19/BB$4*100000*BB$3</f>
        <v>0</v>
      </c>
      <c r="BC20" s="356">
        <f>Data!CT19/BC$4*100000*BC$3</f>
        <v>819.05448350424285</v>
      </c>
      <c r="BD20" s="356">
        <f>Data!CU19/BD$4*100000*BD$3</f>
        <v>0</v>
      </c>
    </row>
    <row r="21" spans="1:56" ht="12" customHeight="1">
      <c r="A21" s="67"/>
      <c r="B21" s="293" t="str">
        <f>UPPER(LEFT(TRIM(Data!B20),1)) &amp; MID(TRIM(Data!B20),2,50)</f>
        <v>Kaulų ir jungiamojo audinio</v>
      </c>
      <c r="C21" s="294" t="str">
        <f>UPPER(LEFT(TRIM(Data!C20),1)) &amp; MID(TRIM(Data!C20),2,50)</f>
        <v>C40-C41, C45-C47, C49</v>
      </c>
      <c r="D21" s="295">
        <f>Data!BQ20</f>
        <v>70</v>
      </c>
      <c r="E21" s="296">
        <f t="shared" si="4"/>
        <v>4.4671973697141887</v>
      </c>
      <c r="F21" s="297">
        <f t="shared" si="5"/>
        <v>3.0488446683716126</v>
      </c>
      <c r="G21" s="297">
        <f t="shared" si="6"/>
        <v>2.537611449644527</v>
      </c>
      <c r="H21" s="73"/>
      <c r="I21" s="73"/>
      <c r="J21" s="73"/>
      <c r="K21" s="73"/>
      <c r="L21" s="73"/>
      <c r="M21" s="73"/>
      <c r="N21" s="73"/>
      <c r="O21" s="73"/>
      <c r="P21" s="269"/>
      <c r="Q21" s="358" t="s">
        <v>353</v>
      </c>
      <c r="R21" s="356">
        <f t="shared" si="2"/>
        <v>304884.46683716128</v>
      </c>
      <c r="S21" s="356">
        <f>Data!CD20/S$4*100000*S$3</f>
        <v>0</v>
      </c>
      <c r="T21" s="356">
        <f>Data!CE20/T$4*100000*T$3</f>
        <v>10277.190509748651</v>
      </c>
      <c r="U21" s="356">
        <f>Data!CF20/U$4*100000*U$3</f>
        <v>0</v>
      </c>
      <c r="V21" s="356">
        <f>Data!CG20/V$4*100000*V$3</f>
        <v>34644.032565390618</v>
      </c>
      <c r="W21" s="356">
        <f>Data!CH20/W$4*100000*W$3</f>
        <v>21415.459922496429</v>
      </c>
      <c r="X21" s="356">
        <f>Data!CI20/X$4*100000*X$3</f>
        <v>0</v>
      </c>
      <c r="Y21" s="356">
        <f>Data!CJ20/Y$4*100000*Y$3</f>
        <v>15948.599940762344</v>
      </c>
      <c r="Z21" s="356">
        <f>Data!CK20/Z$4*100000*Z$3</f>
        <v>7848.149518459968</v>
      </c>
      <c r="AA21" s="356">
        <f>Data!CL20/AA$4*100000*AA$3</f>
        <v>34192.710114203655</v>
      </c>
      <c r="AB21" s="356">
        <f>Data!CM20/AB$4*100000*AB$3</f>
        <v>6431.9908849500598</v>
      </c>
      <c r="AC21" s="356">
        <f>Data!CN20/AC$4*100000*AC$3</f>
        <v>11719.796410393787</v>
      </c>
      <c r="AD21" s="356">
        <f>Data!CO20/AD$4*100000*AD$3</f>
        <v>15400.674207293074</v>
      </c>
      <c r="AE21" s="356">
        <f>Data!CP20/AE$4*100000*AE$3</f>
        <v>40906.906108423755</v>
      </c>
      <c r="AF21" s="356">
        <f>Data!CQ20/AF$4*100000*AF$3</f>
        <v>22722.624917630488</v>
      </c>
      <c r="AG21" s="356">
        <f>Data!CR20/AG$4*100000*AG$3</f>
        <v>28499.162837091659</v>
      </c>
      <c r="AH21" s="356">
        <f>Data!CS20/AH$4*100000*AH$3</f>
        <v>24687.091120053326</v>
      </c>
      <c r="AI21" s="356">
        <f>Data!CT20/AI$4*100000*AI$3</f>
        <v>18019.198637093341</v>
      </c>
      <c r="AJ21" s="356">
        <f>Data!CU20/AJ$4*100000*AJ$3</f>
        <v>12170.879143170108</v>
      </c>
      <c r="AK21" s="358" t="s">
        <v>353</v>
      </c>
      <c r="AL21" s="356">
        <f t="shared" si="3"/>
        <v>253761.14496445272</v>
      </c>
      <c r="AM21" s="356">
        <f>Data!CD20/AM$4*100000*AM$3</f>
        <v>0</v>
      </c>
      <c r="AN21" s="356">
        <f>Data!CE20/AN$4*100000*AN$3</f>
        <v>14681.700728212358</v>
      </c>
      <c r="AO21" s="356">
        <f>Data!CF20/AO$4*100000*AO$3</f>
        <v>0</v>
      </c>
      <c r="AP21" s="356">
        <f>Data!CG20/AP$4*100000*AP$3</f>
        <v>44542.327584073646</v>
      </c>
      <c r="AQ21" s="356">
        <f>Data!CH20/AQ$4*100000*AQ$3</f>
        <v>24474.811339995918</v>
      </c>
      <c r="AR21" s="356">
        <f>Data!CI20/AR$4*100000*AR$3</f>
        <v>0</v>
      </c>
      <c r="AS21" s="356">
        <f>Data!CJ20/AS$4*100000*AS$3</f>
        <v>13670.228520653438</v>
      </c>
      <c r="AT21" s="356">
        <f>Data!CK20/AT$4*100000*AT$3</f>
        <v>6726.9853015371154</v>
      </c>
      <c r="AU21" s="356">
        <f>Data!CL20/AU$4*100000*AU$3</f>
        <v>29308.037240745987</v>
      </c>
      <c r="AV21" s="356">
        <f>Data!CM20/AV$4*100000*AV$3</f>
        <v>5513.1350442429084</v>
      </c>
      <c r="AW21" s="356">
        <f>Data!CN20/AW$4*100000*AW$3</f>
        <v>8371.2831502812751</v>
      </c>
      <c r="AX21" s="356">
        <f>Data!CO20/AX$4*100000*AX$3</f>
        <v>10267.116138195383</v>
      </c>
      <c r="AY21" s="356">
        <f>Data!CP20/AY$4*100000*AY$3</f>
        <v>32725.524886739004</v>
      </c>
      <c r="AZ21" s="356">
        <f>Data!CQ20/AZ$4*100000*AZ$3</f>
        <v>17041.968688222863</v>
      </c>
      <c r="BA21" s="356">
        <f>Data!CR20/BA$4*100000*BA$3</f>
        <v>18999.441891394439</v>
      </c>
      <c r="BB21" s="356">
        <f>Data!CS20/BB$4*100000*BB$3</f>
        <v>12343.545560026663</v>
      </c>
      <c r="BC21" s="356">
        <f>Data!CT20/BC$4*100000*BC$3</f>
        <v>9009.5993185466705</v>
      </c>
      <c r="BD21" s="356">
        <f>Data!CU20/BD$4*100000*BD$3</f>
        <v>6085.4395715850542</v>
      </c>
    </row>
    <row r="22" spans="1:56" ht="12" customHeight="1">
      <c r="A22" s="67"/>
      <c r="B22" s="150" t="str">
        <f>UPPER(LEFT(TRIM(Data!B21),1)) &amp; MID(TRIM(Data!B21),2,50)</f>
        <v>Odos melanoma</v>
      </c>
      <c r="C22" s="129" t="str">
        <f>UPPER(LEFT(TRIM(Data!C21),1)) &amp; MID(TRIM(Data!C21),2,50)</f>
        <v>C43</v>
      </c>
      <c r="D22" s="130">
        <f>Data!BQ21</f>
        <v>207</v>
      </c>
      <c r="E22" s="131">
        <f t="shared" si="4"/>
        <v>13.210140793297674</v>
      </c>
      <c r="F22" s="132">
        <f t="shared" si="5"/>
        <v>8.6710666926573747</v>
      </c>
      <c r="G22" s="132">
        <f t="shared" si="6"/>
        <v>6.3260574440138999</v>
      </c>
      <c r="H22" s="73"/>
      <c r="I22" s="73"/>
      <c r="J22" s="73"/>
      <c r="K22" s="73"/>
      <c r="L22" s="73"/>
      <c r="M22" s="73"/>
      <c r="N22" s="73"/>
      <c r="O22" s="73"/>
      <c r="P22" s="269"/>
      <c r="Q22" s="358" t="s">
        <v>353</v>
      </c>
      <c r="R22" s="356">
        <f t="shared" si="2"/>
        <v>867106.66926573752</v>
      </c>
      <c r="S22" s="356">
        <f>Data!CD21/S$4*100000*S$3</f>
        <v>0</v>
      </c>
      <c r="T22" s="356">
        <f>Data!CE21/T$4*100000*T$3</f>
        <v>0</v>
      </c>
      <c r="U22" s="356">
        <f>Data!CF21/U$4*100000*U$3</f>
        <v>0</v>
      </c>
      <c r="V22" s="356">
        <f>Data!CG21/V$4*100000*V$3</f>
        <v>0</v>
      </c>
      <c r="W22" s="356">
        <f>Data!CH21/W$4*100000*W$3</f>
        <v>14276.973281664288</v>
      </c>
      <c r="X22" s="356">
        <f>Data!CI21/X$4*100000*X$3</f>
        <v>22071.806945261917</v>
      </c>
      <c r="Y22" s="356">
        <f>Data!CJ21/Y$4*100000*Y$3</f>
        <v>47845.799822287037</v>
      </c>
      <c r="Z22" s="356">
        <f>Data!CK21/Z$4*100000*Z$3</f>
        <v>31392.598073839872</v>
      </c>
      <c r="AA22" s="356">
        <f>Data!CL21/AA$4*100000*AA$3</f>
        <v>75223.962251248042</v>
      </c>
      <c r="AB22" s="356">
        <f>Data!CM21/AB$4*100000*AB$3</f>
        <v>45023.936194650421</v>
      </c>
      <c r="AC22" s="356">
        <f>Data!CN21/AC$4*100000*AC$3</f>
        <v>70318.778462362709</v>
      </c>
      <c r="AD22" s="356">
        <f>Data!CO21/AD$4*100000*AD$3</f>
        <v>107804.71945105153</v>
      </c>
      <c r="AE22" s="356">
        <f>Data!CP21/AE$4*100000*AE$3</f>
        <v>81813.812216847509</v>
      </c>
      <c r="AF22" s="356">
        <f>Data!CQ21/AF$4*100000*AF$3</f>
        <v>109068.59960462635</v>
      </c>
      <c r="AG22" s="356">
        <f>Data!CR21/AG$4*100000*AG$3</f>
        <v>117559.0467030031</v>
      </c>
      <c r="AH22" s="356">
        <f>Data!CS21/AH$4*100000*AH$3</f>
        <v>83936.109808181296</v>
      </c>
      <c r="AI22" s="356">
        <f>Data!CT21/AI$4*100000*AI$3</f>
        <v>34400.288307178191</v>
      </c>
      <c r="AJ22" s="356">
        <f>Data!CU21/AJ$4*100000*AJ$3</f>
        <v>26370.238143535236</v>
      </c>
      <c r="AK22" s="358" t="s">
        <v>353</v>
      </c>
      <c r="AL22" s="356">
        <f t="shared" si="3"/>
        <v>632605.74440138997</v>
      </c>
      <c r="AM22" s="356">
        <f>Data!CD21/AM$4*100000*AM$3</f>
        <v>0</v>
      </c>
      <c r="AN22" s="356">
        <f>Data!CE21/AN$4*100000*AN$3</f>
        <v>0</v>
      </c>
      <c r="AO22" s="356">
        <f>Data!CF21/AO$4*100000*AO$3</f>
        <v>0</v>
      </c>
      <c r="AP22" s="356">
        <f>Data!CG21/AP$4*100000*AP$3</f>
        <v>0</v>
      </c>
      <c r="AQ22" s="356">
        <f>Data!CH21/AQ$4*100000*AQ$3</f>
        <v>16316.540893330615</v>
      </c>
      <c r="AR22" s="356">
        <f>Data!CI21/AR$4*100000*AR$3</f>
        <v>25224.922223156475</v>
      </c>
      <c r="AS22" s="356">
        <f>Data!CJ21/AS$4*100000*AS$3</f>
        <v>41010.685561960316</v>
      </c>
      <c r="AT22" s="356">
        <f>Data!CK21/AT$4*100000*AT$3</f>
        <v>26907.941206148462</v>
      </c>
      <c r="AU22" s="356">
        <f>Data!CL21/AU$4*100000*AU$3</f>
        <v>64477.681929641178</v>
      </c>
      <c r="AV22" s="356">
        <f>Data!CM21/AV$4*100000*AV$3</f>
        <v>38591.945309700357</v>
      </c>
      <c r="AW22" s="356">
        <f>Data!CN21/AW$4*100000*AW$3</f>
        <v>50227.698901687647</v>
      </c>
      <c r="AX22" s="356">
        <f>Data!CO21/AX$4*100000*AX$3</f>
        <v>71869.812967367674</v>
      </c>
      <c r="AY22" s="356">
        <f>Data!CP21/AY$4*100000*AY$3</f>
        <v>65451.049773478007</v>
      </c>
      <c r="AZ22" s="356">
        <f>Data!CQ21/AZ$4*100000*AZ$3</f>
        <v>81801.449703469756</v>
      </c>
      <c r="BA22" s="356">
        <f>Data!CR21/BA$4*100000*BA$3</f>
        <v>78372.697802002062</v>
      </c>
      <c r="BB22" s="356">
        <f>Data!CS21/BB$4*100000*BB$3</f>
        <v>41968.054904090648</v>
      </c>
      <c r="BC22" s="356">
        <f>Data!CT21/BC$4*100000*BC$3</f>
        <v>17200.144153589095</v>
      </c>
      <c r="BD22" s="356">
        <f>Data!CU21/BD$4*100000*BD$3</f>
        <v>13185.119071767618</v>
      </c>
    </row>
    <row r="23" spans="1:56" ht="12" customHeight="1">
      <c r="A23" s="67"/>
      <c r="B23" s="293" t="str">
        <f>UPPER(LEFT(TRIM(Data!B22),1)) &amp; MID(TRIM(Data!B22),2,50)</f>
        <v>Kiti odos piktybiniai navikai</v>
      </c>
      <c r="C23" s="294" t="str">
        <f>UPPER(LEFT(TRIM(Data!C22),1)) &amp; MID(TRIM(Data!C22),2,50)</f>
        <v>C44</v>
      </c>
      <c r="D23" s="295">
        <f>Data!BQ22</f>
        <v>1414</v>
      </c>
      <c r="E23" s="296">
        <f t="shared" si="4"/>
        <v>90.237386868226608</v>
      </c>
      <c r="F23" s="297">
        <f t="shared" si="5"/>
        <v>51.906948230775548</v>
      </c>
      <c r="G23" s="297">
        <f t="shared" si="6"/>
        <v>35.894580332581334</v>
      </c>
      <c r="H23" s="73"/>
      <c r="I23" s="73"/>
      <c r="J23" s="73"/>
      <c r="K23" s="73"/>
      <c r="L23" s="73"/>
      <c r="M23" s="73"/>
      <c r="N23" s="73"/>
      <c r="O23" s="73"/>
      <c r="P23" s="269"/>
      <c r="Q23" s="358" t="s">
        <v>353</v>
      </c>
      <c r="R23" s="356">
        <f t="shared" si="2"/>
        <v>5190694.8230775548</v>
      </c>
      <c r="S23" s="356">
        <f>Data!CD22/S$4*100000*S$3</f>
        <v>0</v>
      </c>
      <c r="T23" s="356">
        <f>Data!CE22/T$4*100000*T$3</f>
        <v>0</v>
      </c>
      <c r="U23" s="356">
        <f>Data!CF22/U$4*100000*U$3</f>
        <v>0</v>
      </c>
      <c r="V23" s="356">
        <f>Data!CG22/V$4*100000*V$3</f>
        <v>8661.0081413476546</v>
      </c>
      <c r="W23" s="356">
        <f>Data!CH22/W$4*100000*W$3</f>
        <v>14276.973281664288</v>
      </c>
      <c r="X23" s="356">
        <f>Data!CI22/X$4*100000*X$3</f>
        <v>51500.882872277805</v>
      </c>
      <c r="Y23" s="356">
        <f>Data!CJ22/Y$4*100000*Y$3</f>
        <v>119614.49955571759</v>
      </c>
      <c r="Z23" s="356">
        <f>Data!CK22/Z$4*100000*Z$3</f>
        <v>180507.43892457927</v>
      </c>
      <c r="AA23" s="356">
        <f>Data!CL22/AA$4*100000*AA$3</f>
        <v>184640.63461669971</v>
      </c>
      <c r="AB23" s="356">
        <f>Data!CM22/AB$4*100000*AB$3</f>
        <v>283007.59893780266</v>
      </c>
      <c r="AC23" s="356">
        <f>Data!CN22/AC$4*100000*AC$3</f>
        <v>392613.17974819179</v>
      </c>
      <c r="AD23" s="356">
        <f>Data!CO22/AD$4*100000*AD$3</f>
        <v>533890.03918615996</v>
      </c>
      <c r="AE23" s="356">
        <f>Data!CP22/AE$4*100000*AE$3</f>
        <v>603376.86509925034</v>
      </c>
      <c r="AF23" s="356">
        <f>Data!CQ22/AF$4*100000*AF$3</f>
        <v>768024.72221591044</v>
      </c>
      <c r="AG23" s="356">
        <f>Data!CR22/AG$4*100000*AG$3</f>
        <v>748103.02447365609</v>
      </c>
      <c r="AH23" s="356">
        <f>Data!CS22/AH$4*100000*AH$3</f>
        <v>627052.11444935447</v>
      </c>
      <c r="AI23" s="356">
        <f>Data!CT22/AI$4*100000*AI$3</f>
        <v>340726.66513776494</v>
      </c>
      <c r="AJ23" s="356">
        <f>Data!CU22/AJ$4*100000*AJ$3</f>
        <v>334699.17643717799</v>
      </c>
      <c r="AK23" s="358" t="s">
        <v>353</v>
      </c>
      <c r="AL23" s="356">
        <f t="shared" si="3"/>
        <v>3589458.0332581331</v>
      </c>
      <c r="AM23" s="356">
        <f>Data!CD22/AM$4*100000*AM$3</f>
        <v>0</v>
      </c>
      <c r="AN23" s="356">
        <f>Data!CE22/AN$4*100000*AN$3</f>
        <v>0</v>
      </c>
      <c r="AO23" s="356">
        <f>Data!CF22/AO$4*100000*AO$3</f>
        <v>0</v>
      </c>
      <c r="AP23" s="356">
        <f>Data!CG22/AP$4*100000*AP$3</f>
        <v>11135.581896018411</v>
      </c>
      <c r="AQ23" s="356">
        <f>Data!CH22/AQ$4*100000*AQ$3</f>
        <v>16316.540893330615</v>
      </c>
      <c r="AR23" s="356">
        <f>Data!CI22/AR$4*100000*AR$3</f>
        <v>58858.151854031785</v>
      </c>
      <c r="AS23" s="356">
        <f>Data!CJ22/AS$4*100000*AS$3</f>
        <v>102526.71390490078</v>
      </c>
      <c r="AT23" s="356">
        <f>Data!CK22/AT$4*100000*AT$3</f>
        <v>154720.66193535368</v>
      </c>
      <c r="AU23" s="356">
        <f>Data!CL22/AU$4*100000*AU$3</f>
        <v>158263.40110002834</v>
      </c>
      <c r="AV23" s="356">
        <f>Data!CM22/AV$4*100000*AV$3</f>
        <v>242577.94194668802</v>
      </c>
      <c r="AW23" s="356">
        <f>Data!CN22/AW$4*100000*AW$3</f>
        <v>280437.98553442274</v>
      </c>
      <c r="AX23" s="356">
        <f>Data!CO22/AX$4*100000*AX$3</f>
        <v>355926.69279077329</v>
      </c>
      <c r="AY23" s="356">
        <f>Data!CP22/AY$4*100000*AY$3</f>
        <v>482701.49207940028</v>
      </c>
      <c r="AZ23" s="356">
        <f>Data!CQ22/AZ$4*100000*AZ$3</f>
        <v>576018.54166193283</v>
      </c>
      <c r="BA23" s="356">
        <f>Data!CR22/BA$4*100000*BA$3</f>
        <v>498735.34964910406</v>
      </c>
      <c r="BB23" s="356">
        <f>Data!CS22/BB$4*100000*BB$3</f>
        <v>313526.05722467724</v>
      </c>
      <c r="BC23" s="356">
        <f>Data!CT22/BC$4*100000*BC$3</f>
        <v>170363.33256888247</v>
      </c>
      <c r="BD23" s="356">
        <f>Data!CU22/BD$4*100000*BD$3</f>
        <v>167349.58821858899</v>
      </c>
    </row>
    <row r="24" spans="1:56" ht="12" customHeight="1">
      <c r="A24" s="67"/>
      <c r="B24" s="150" t="str">
        <f>UPPER(LEFT(TRIM(Data!B23),1)) &amp; MID(TRIM(Data!B23),2,50)</f>
        <v>Krūties</v>
      </c>
      <c r="C24" s="129" t="str">
        <f>UPPER(LEFT(TRIM(Data!C23),1)) &amp; MID(TRIM(Data!C23),2,50)</f>
        <v>C50</v>
      </c>
      <c r="D24" s="130">
        <f>Data!BQ23</f>
        <v>1638</v>
      </c>
      <c r="E24" s="131">
        <f t="shared" si="4"/>
        <v>104.53241845131201</v>
      </c>
      <c r="F24" s="132">
        <f t="shared" si="5"/>
        <v>77.071881467326875</v>
      </c>
      <c r="G24" s="132">
        <f t="shared" si="6"/>
        <v>56.841052180819325</v>
      </c>
      <c r="H24" s="73"/>
      <c r="I24" s="73"/>
      <c r="J24" s="73"/>
      <c r="K24" s="73"/>
      <c r="L24" s="73"/>
      <c r="M24" s="73"/>
      <c r="N24" s="73"/>
      <c r="O24" s="73"/>
      <c r="P24" s="269"/>
      <c r="Q24" s="358" t="s">
        <v>353</v>
      </c>
      <c r="R24" s="356">
        <f t="shared" si="2"/>
        <v>7707188.146732688</v>
      </c>
      <c r="S24" s="356">
        <f>Data!CD23/S$4*100000*S$3</f>
        <v>0</v>
      </c>
      <c r="T24" s="356">
        <f>Data!CE23/T$4*100000*T$3</f>
        <v>0</v>
      </c>
      <c r="U24" s="356">
        <f>Data!CF23/U$4*100000*U$3</f>
        <v>0</v>
      </c>
      <c r="V24" s="356">
        <f>Data!CG23/V$4*100000*V$3</f>
        <v>0</v>
      </c>
      <c r="W24" s="356">
        <f>Data!CH23/W$4*100000*W$3</f>
        <v>0</v>
      </c>
      <c r="X24" s="356">
        <f>Data!CI23/X$4*100000*X$3</f>
        <v>29429.075927015892</v>
      </c>
      <c r="Y24" s="356">
        <f>Data!CJ23/Y$4*100000*Y$3</f>
        <v>143537.39946686107</v>
      </c>
      <c r="Z24" s="356">
        <f>Data!CK23/Z$4*100000*Z$3</f>
        <v>353166.72833069862</v>
      </c>
      <c r="AA24" s="356">
        <f>Data!CL23/AA$4*100000*AA$3</f>
        <v>663338.57621555089</v>
      </c>
      <c r="AB24" s="356">
        <f>Data!CM23/AB$4*100000*AB$3</f>
        <v>842590.80592845799</v>
      </c>
      <c r="AC24" s="356">
        <f>Data!CN23/AC$4*100000*AC$3</f>
        <v>1429815.1620680417</v>
      </c>
      <c r="AD24" s="356">
        <f>Data!CO23/AD$4*100000*AD$3</f>
        <v>1083180.7525796129</v>
      </c>
      <c r="AE24" s="356">
        <f>Data!CP23/AE$4*100000*AE$3</f>
        <v>1058466.1955554646</v>
      </c>
      <c r="AF24" s="356">
        <f>Data!CQ23/AF$4*100000*AF$3</f>
        <v>754391.14726533205</v>
      </c>
      <c r="AG24" s="356">
        <f>Data!CR23/AG$4*100000*AG$3</f>
        <v>619856.79170674365</v>
      </c>
      <c r="AH24" s="356">
        <f>Data!CS23/AH$4*100000*AH$3</f>
        <v>417211.83992890117</v>
      </c>
      <c r="AI24" s="356">
        <f>Data!CT23/AI$4*100000*AI$3</f>
        <v>153982.24289879765</v>
      </c>
      <c r="AJ24" s="356">
        <f>Data!CU23/AJ$4*100000*AJ$3</f>
        <v>158221.4288612114</v>
      </c>
      <c r="AK24" s="358" t="s">
        <v>353</v>
      </c>
      <c r="AL24" s="356">
        <f t="shared" si="3"/>
        <v>5684105.2180819325</v>
      </c>
      <c r="AM24" s="356">
        <f>Data!CD23/AM$4*100000*AM$3</f>
        <v>0</v>
      </c>
      <c r="AN24" s="356">
        <f>Data!CE23/AN$4*100000*AN$3</f>
        <v>0</v>
      </c>
      <c r="AO24" s="356">
        <f>Data!CF23/AO$4*100000*AO$3</f>
        <v>0</v>
      </c>
      <c r="AP24" s="356">
        <f>Data!CG23/AP$4*100000*AP$3</f>
        <v>0</v>
      </c>
      <c r="AQ24" s="356">
        <f>Data!CH23/AQ$4*100000*AQ$3</f>
        <v>0</v>
      </c>
      <c r="AR24" s="356">
        <f>Data!CI23/AR$4*100000*AR$3</f>
        <v>33633.229630875307</v>
      </c>
      <c r="AS24" s="356">
        <f>Data!CJ23/AS$4*100000*AS$3</f>
        <v>123032.05668588092</v>
      </c>
      <c r="AT24" s="356">
        <f>Data!CK23/AT$4*100000*AT$3</f>
        <v>302714.33856917021</v>
      </c>
      <c r="AU24" s="356">
        <f>Data!CL23/AU$4*100000*AU$3</f>
        <v>568575.92247047217</v>
      </c>
      <c r="AV24" s="356">
        <f>Data!CM23/AV$4*100000*AV$3</f>
        <v>722220.69079582114</v>
      </c>
      <c r="AW24" s="356">
        <f>Data!CN23/AW$4*100000*AW$3</f>
        <v>1021296.5443343156</v>
      </c>
      <c r="AX24" s="356">
        <f>Data!CO23/AX$4*100000*AX$3</f>
        <v>722120.50171974197</v>
      </c>
      <c r="AY24" s="356">
        <f>Data!CP23/AY$4*100000*AY$3</f>
        <v>846772.95644437172</v>
      </c>
      <c r="AZ24" s="356">
        <f>Data!CQ23/AZ$4*100000*AZ$3</f>
        <v>565793.36044899898</v>
      </c>
      <c r="BA24" s="356">
        <f>Data!CR23/BA$4*100000*BA$3</f>
        <v>413237.86113782908</v>
      </c>
      <c r="BB24" s="356">
        <f>Data!CS23/BB$4*100000*BB$3</f>
        <v>208605.91996445059</v>
      </c>
      <c r="BC24" s="356">
        <f>Data!CT23/BC$4*100000*BC$3</f>
        <v>76991.121449398823</v>
      </c>
      <c r="BD24" s="356">
        <f>Data!CU23/BD$4*100000*BD$3</f>
        <v>79110.714430605702</v>
      </c>
    </row>
    <row r="25" spans="1:56" ht="12" customHeight="1">
      <c r="A25" s="67"/>
      <c r="B25" s="293" t="str">
        <f>UPPER(LEFT(TRIM(Data!B24),1)) &amp; MID(TRIM(Data!B24),2,50)</f>
        <v>Vulvos</v>
      </c>
      <c r="C25" s="294" t="str">
        <f>UPPER(LEFT(TRIM(Data!C24),1)) &amp; MID(TRIM(Data!C24),2,50)</f>
        <v>C51</v>
      </c>
      <c r="D25" s="295">
        <f>Data!BQ24</f>
        <v>51</v>
      </c>
      <c r="E25" s="296">
        <f t="shared" si="4"/>
        <v>3.2546723693631949</v>
      </c>
      <c r="F25" s="297">
        <f t="shared" si="5"/>
        <v>1.8433007703375979</v>
      </c>
      <c r="G25" s="297">
        <f t="shared" si="6"/>
        <v>1.2617936753335914</v>
      </c>
      <c r="H25" s="73"/>
      <c r="I25" s="73"/>
      <c r="J25" s="73"/>
      <c r="K25" s="73"/>
      <c r="L25" s="73"/>
      <c r="M25" s="73"/>
      <c r="N25" s="73"/>
      <c r="O25" s="73"/>
      <c r="P25" s="269"/>
      <c r="Q25" s="358" t="s">
        <v>353</v>
      </c>
      <c r="R25" s="356">
        <f t="shared" si="2"/>
        <v>184330.07703375979</v>
      </c>
      <c r="S25" s="356">
        <f>Data!CD24/S$4*100000*S$3</f>
        <v>0</v>
      </c>
      <c r="T25" s="356">
        <f>Data!CE24/T$4*100000*T$3</f>
        <v>0</v>
      </c>
      <c r="U25" s="356">
        <f>Data!CF24/U$4*100000*U$3</f>
        <v>0</v>
      </c>
      <c r="V25" s="356">
        <f>Data!CG24/V$4*100000*V$3</f>
        <v>0</v>
      </c>
      <c r="W25" s="356">
        <f>Data!CH24/W$4*100000*W$3</f>
        <v>0</v>
      </c>
      <c r="X25" s="356">
        <f>Data!CI24/X$4*100000*X$3</f>
        <v>0</v>
      </c>
      <c r="Y25" s="356">
        <f>Data!CJ24/Y$4*100000*Y$3</f>
        <v>0</v>
      </c>
      <c r="Z25" s="356">
        <f>Data!CK24/Z$4*100000*Z$3</f>
        <v>15696.299036919936</v>
      </c>
      <c r="AA25" s="356">
        <f>Data!CL24/AA$4*100000*AA$3</f>
        <v>0</v>
      </c>
      <c r="AB25" s="356">
        <f>Data!CM24/AB$4*100000*AB$3</f>
        <v>19295.972654850182</v>
      </c>
      <c r="AC25" s="356">
        <f>Data!CN24/AC$4*100000*AC$3</f>
        <v>17579.694615590677</v>
      </c>
      <c r="AD25" s="356">
        <f>Data!CO24/AD$4*100000*AD$3</f>
        <v>15400.674207293074</v>
      </c>
      <c r="AE25" s="356">
        <f>Data!CP24/AE$4*100000*AE$3</f>
        <v>25566.816317764846</v>
      </c>
      <c r="AF25" s="356">
        <f>Data!CQ24/AF$4*100000*AF$3</f>
        <v>18178.09993410439</v>
      </c>
      <c r="AG25" s="356">
        <f>Data!CR24/AG$4*100000*AG$3</f>
        <v>17811.976773182287</v>
      </c>
      <c r="AH25" s="356">
        <f>Data!CS24/AH$4*100000*AH$3</f>
        <v>24687.091120053326</v>
      </c>
      <c r="AI25" s="356">
        <f>Data!CT24/AI$4*100000*AI$3</f>
        <v>9828.6538020509124</v>
      </c>
      <c r="AJ25" s="356">
        <f>Data!CU24/AJ$4*100000*AJ$3</f>
        <v>20284.798571950181</v>
      </c>
      <c r="AK25" s="358" t="s">
        <v>353</v>
      </c>
      <c r="AL25" s="356">
        <f t="shared" si="3"/>
        <v>126179.36753335914</v>
      </c>
      <c r="AM25" s="356">
        <f>Data!CD24/AM$4*100000*AM$3</f>
        <v>0</v>
      </c>
      <c r="AN25" s="356">
        <f>Data!CE24/AN$4*100000*AN$3</f>
        <v>0</v>
      </c>
      <c r="AO25" s="356">
        <f>Data!CF24/AO$4*100000*AO$3</f>
        <v>0</v>
      </c>
      <c r="AP25" s="356">
        <f>Data!CG24/AP$4*100000*AP$3</f>
        <v>0</v>
      </c>
      <c r="AQ25" s="356">
        <f>Data!CH24/AQ$4*100000*AQ$3</f>
        <v>0</v>
      </c>
      <c r="AR25" s="356">
        <f>Data!CI24/AR$4*100000*AR$3</f>
        <v>0</v>
      </c>
      <c r="AS25" s="356">
        <f>Data!CJ24/AS$4*100000*AS$3</f>
        <v>0</v>
      </c>
      <c r="AT25" s="356">
        <f>Data!CK24/AT$4*100000*AT$3</f>
        <v>13453.970603074231</v>
      </c>
      <c r="AU25" s="356">
        <f>Data!CL24/AU$4*100000*AU$3</f>
        <v>0</v>
      </c>
      <c r="AV25" s="356">
        <f>Data!CM24/AV$4*100000*AV$3</f>
        <v>16539.405132728727</v>
      </c>
      <c r="AW25" s="356">
        <f>Data!CN24/AW$4*100000*AW$3</f>
        <v>12556.924725421912</v>
      </c>
      <c r="AX25" s="356">
        <f>Data!CO24/AX$4*100000*AX$3</f>
        <v>10267.116138195383</v>
      </c>
      <c r="AY25" s="356">
        <f>Data!CP24/AY$4*100000*AY$3</f>
        <v>20453.453054211877</v>
      </c>
      <c r="AZ25" s="356">
        <f>Data!CQ24/AZ$4*100000*AZ$3</f>
        <v>13633.574950578291</v>
      </c>
      <c r="BA25" s="356">
        <f>Data!CR24/BA$4*100000*BA$3</f>
        <v>11874.651182121524</v>
      </c>
      <c r="BB25" s="356">
        <f>Data!CS24/BB$4*100000*BB$3</f>
        <v>12343.545560026663</v>
      </c>
      <c r="BC25" s="356">
        <f>Data!CT24/BC$4*100000*BC$3</f>
        <v>4914.3269010254562</v>
      </c>
      <c r="BD25" s="356">
        <f>Data!CU24/BD$4*100000*BD$3</f>
        <v>10142.399285975091</v>
      </c>
    </row>
    <row r="26" spans="1:56" ht="12" customHeight="1">
      <c r="A26" s="67"/>
      <c r="B26" s="150" t="str">
        <f>UPPER(LEFT(TRIM(Data!B25),1)) &amp; MID(TRIM(Data!B25),2,50)</f>
        <v>Gimdos kaklelio</v>
      </c>
      <c r="C26" s="129" t="str">
        <f>UPPER(LEFT(TRIM(Data!C25),1)) &amp; MID(TRIM(Data!C25),2,50)</f>
        <v>C53</v>
      </c>
      <c r="D26" s="130">
        <f>Data!BQ25</f>
        <v>380</v>
      </c>
      <c r="E26" s="131">
        <f t="shared" si="4"/>
        <v>24.25050000701988</v>
      </c>
      <c r="F26" s="132">
        <f t="shared" si="5"/>
        <v>19.925077149030663</v>
      </c>
      <c r="G26" s="132">
        <f t="shared" si="6"/>
        <v>15.49104721054389</v>
      </c>
      <c r="H26" s="72"/>
      <c r="I26" s="72"/>
      <c r="J26" s="72"/>
      <c r="K26" s="72"/>
      <c r="L26" s="72"/>
      <c r="M26" s="72"/>
      <c r="N26" s="72"/>
      <c r="O26" s="72"/>
      <c r="P26" s="269"/>
      <c r="Q26" s="358" t="s">
        <v>353</v>
      </c>
      <c r="R26" s="356">
        <f t="shared" si="2"/>
        <v>1992507.7149030664</v>
      </c>
      <c r="S26" s="356">
        <f>Data!CD25/S$4*100000*S$3</f>
        <v>0</v>
      </c>
      <c r="T26" s="356">
        <f>Data!CE25/T$4*100000*T$3</f>
        <v>0</v>
      </c>
      <c r="U26" s="356">
        <f>Data!CF25/U$4*100000*U$3</f>
        <v>0</v>
      </c>
      <c r="V26" s="356">
        <f>Data!CG25/V$4*100000*V$3</f>
        <v>0</v>
      </c>
      <c r="W26" s="356">
        <f>Data!CH25/W$4*100000*W$3</f>
        <v>14276.973281664288</v>
      </c>
      <c r="X26" s="356">
        <f>Data!CI25/X$4*100000*X$3</f>
        <v>58858.151854031785</v>
      </c>
      <c r="Y26" s="356">
        <f>Data!CJ25/Y$4*100000*Y$3</f>
        <v>151511.69943724226</v>
      </c>
      <c r="Z26" s="356">
        <f>Data!CK25/Z$4*100000*Z$3</f>
        <v>204051.88747995917</v>
      </c>
      <c r="AA26" s="356">
        <f>Data!CL25/AA$4*100000*AA$3</f>
        <v>225671.88675374413</v>
      </c>
      <c r="AB26" s="356">
        <f>Data!CM25/AB$4*100000*AB$3</f>
        <v>276575.60805285256</v>
      </c>
      <c r="AC26" s="356">
        <f>Data!CN25/AC$4*100000*AC$3</f>
        <v>292994.91025984462</v>
      </c>
      <c r="AD26" s="356">
        <f>Data!CO25/AD$4*100000*AD$3</f>
        <v>272078.57766217762</v>
      </c>
      <c r="AE26" s="356">
        <f>Data!CP25/AE$4*100000*AE$3</f>
        <v>158514.26117014204</v>
      </c>
      <c r="AF26" s="356">
        <f>Data!CQ25/AF$4*100000*AF$3</f>
        <v>118157.64957167853</v>
      </c>
      <c r="AG26" s="356">
        <f>Data!CR25/AG$4*100000*AG$3</f>
        <v>85497.488511274976</v>
      </c>
      <c r="AH26" s="356">
        <f>Data!CS25/AH$4*100000*AH$3</f>
        <v>64186.436912138648</v>
      </c>
      <c r="AI26" s="356">
        <f>Data!CT25/AI$4*100000*AI$3</f>
        <v>37676.506241195166</v>
      </c>
      <c r="AJ26" s="356">
        <f>Data!CU25/AJ$4*100000*AJ$3</f>
        <v>32455.677715120288</v>
      </c>
      <c r="AK26" s="358" t="s">
        <v>353</v>
      </c>
      <c r="AL26" s="356">
        <f t="shared" si="3"/>
        <v>1549104.7210543889</v>
      </c>
      <c r="AM26" s="356">
        <f>Data!CD25/AM$4*100000*AM$3</f>
        <v>0</v>
      </c>
      <c r="AN26" s="356">
        <f>Data!CE25/AN$4*100000*AN$3</f>
        <v>0</v>
      </c>
      <c r="AO26" s="356">
        <f>Data!CF25/AO$4*100000*AO$3</f>
        <v>0</v>
      </c>
      <c r="AP26" s="356">
        <f>Data!CG25/AP$4*100000*AP$3</f>
        <v>0</v>
      </c>
      <c r="AQ26" s="356">
        <f>Data!CH25/AQ$4*100000*AQ$3</f>
        <v>16316.540893330615</v>
      </c>
      <c r="AR26" s="356">
        <f>Data!CI25/AR$4*100000*AR$3</f>
        <v>67266.459261750613</v>
      </c>
      <c r="AS26" s="356">
        <f>Data!CJ25/AS$4*100000*AS$3</f>
        <v>129867.17094620765</v>
      </c>
      <c r="AT26" s="356">
        <f>Data!CK25/AT$4*100000*AT$3</f>
        <v>174901.61783996501</v>
      </c>
      <c r="AU26" s="356">
        <f>Data!CL25/AU$4*100000*AU$3</f>
        <v>193433.04578892354</v>
      </c>
      <c r="AV26" s="356">
        <f>Data!CM25/AV$4*100000*AV$3</f>
        <v>237064.80690244507</v>
      </c>
      <c r="AW26" s="356">
        <f>Data!CN25/AW$4*100000*AW$3</f>
        <v>209282.07875703188</v>
      </c>
      <c r="AX26" s="356">
        <f>Data!CO25/AX$4*100000*AX$3</f>
        <v>181385.71844145175</v>
      </c>
      <c r="AY26" s="356">
        <f>Data!CP25/AY$4*100000*AY$3</f>
        <v>126811.40893611364</v>
      </c>
      <c r="AZ26" s="356">
        <f>Data!CQ25/AZ$4*100000*AZ$3</f>
        <v>88618.237178758893</v>
      </c>
      <c r="BA26" s="356">
        <f>Data!CR25/BA$4*100000*BA$3</f>
        <v>56998.325674183317</v>
      </c>
      <c r="BB26" s="356">
        <f>Data!CS25/BB$4*100000*BB$3</f>
        <v>32093.218456069324</v>
      </c>
      <c r="BC26" s="356">
        <f>Data!CT25/BC$4*100000*BC$3</f>
        <v>18838.253120597583</v>
      </c>
      <c r="BD26" s="356">
        <f>Data!CU25/BD$4*100000*BD$3</f>
        <v>16227.838857560144</v>
      </c>
    </row>
    <row r="27" spans="1:56" ht="12" customHeight="1">
      <c r="A27" s="67"/>
      <c r="B27" s="293" t="str">
        <f>UPPER(LEFT(TRIM(Data!B26),1)) &amp; MID(TRIM(Data!B26),2,50)</f>
        <v>Gimdos kūno</v>
      </c>
      <c r="C27" s="294" t="str">
        <f>UPPER(LEFT(TRIM(Data!C26),1)) &amp; MID(TRIM(Data!C26),2,50)</f>
        <v>C54, C55</v>
      </c>
      <c r="D27" s="295">
        <f>Data!BQ26</f>
        <v>615</v>
      </c>
      <c r="E27" s="296">
        <f t="shared" si="4"/>
        <v>39.247519748203231</v>
      </c>
      <c r="F27" s="297">
        <f t="shared" si="5"/>
        <v>27.216739970541816</v>
      </c>
      <c r="G27" s="297">
        <f t="shared" si="6"/>
        <v>19.66116399307386</v>
      </c>
      <c r="H27" s="72"/>
      <c r="I27" s="72"/>
      <c r="J27" s="72"/>
      <c r="K27" s="72"/>
      <c r="L27" s="72"/>
      <c r="M27" s="72"/>
      <c r="N27" s="72"/>
      <c r="O27" s="72"/>
      <c r="P27" s="269"/>
      <c r="Q27" s="358" t="s">
        <v>353</v>
      </c>
      <c r="R27" s="356">
        <f t="shared" si="2"/>
        <v>2721673.9970541815</v>
      </c>
      <c r="S27" s="356">
        <f>Data!CD26/S$4*100000*S$3</f>
        <v>0</v>
      </c>
      <c r="T27" s="356">
        <f>Data!CE26/T$4*100000*T$3</f>
        <v>0</v>
      </c>
      <c r="U27" s="356">
        <f>Data!CF26/U$4*100000*U$3</f>
        <v>0</v>
      </c>
      <c r="V27" s="356">
        <f>Data!CG26/V$4*100000*V$3</f>
        <v>0</v>
      </c>
      <c r="W27" s="356">
        <f>Data!CH26/W$4*100000*W$3</f>
        <v>0</v>
      </c>
      <c r="X27" s="356">
        <f>Data!CI26/X$4*100000*X$3</f>
        <v>7357.2689817539731</v>
      </c>
      <c r="Y27" s="356">
        <f>Data!CJ26/Y$4*100000*Y$3</f>
        <v>47845.799822287037</v>
      </c>
      <c r="Z27" s="356">
        <f>Data!CK26/Z$4*100000*Z$3</f>
        <v>54937.046629219782</v>
      </c>
      <c r="AA27" s="356">
        <f>Data!CL26/AA$4*100000*AA$3</f>
        <v>109416.6723654517</v>
      </c>
      <c r="AB27" s="356">
        <f>Data!CM26/AB$4*100000*AB$3</f>
        <v>263711.62628295249</v>
      </c>
      <c r="AC27" s="356">
        <f>Data!CN26/AC$4*100000*AC$3</f>
        <v>380893.38333779795</v>
      </c>
      <c r="AD27" s="356">
        <f>Data!CO26/AD$4*100000*AD$3</f>
        <v>472287.34235698759</v>
      </c>
      <c r="AE27" s="356">
        <f>Data!CP26/AE$4*100000*AE$3</f>
        <v>419295.78761134343</v>
      </c>
      <c r="AF27" s="356">
        <f>Data!CQ26/AF$4*100000*AF$3</f>
        <v>404462.72353382269</v>
      </c>
      <c r="AG27" s="356">
        <f>Data!CR26/AG$4*100000*AG$3</f>
        <v>260054.86088846138</v>
      </c>
      <c r="AH27" s="356">
        <f>Data!CS26/AH$4*100000*AH$3</f>
        <v>155528.67405633593</v>
      </c>
      <c r="AI27" s="356">
        <f>Data!CT26/AI$4*100000*AI$3</f>
        <v>68800.576614356381</v>
      </c>
      <c r="AJ27" s="356">
        <f>Data!CU26/AJ$4*100000*AJ$3</f>
        <v>77082.234573410693</v>
      </c>
      <c r="AK27" s="358" t="s">
        <v>353</v>
      </c>
      <c r="AL27" s="356">
        <f t="shared" si="3"/>
        <v>1966116.399307386</v>
      </c>
      <c r="AM27" s="356">
        <f>Data!CD26/AM$4*100000*AM$3</f>
        <v>0</v>
      </c>
      <c r="AN27" s="356">
        <f>Data!CE26/AN$4*100000*AN$3</f>
        <v>0</v>
      </c>
      <c r="AO27" s="356">
        <f>Data!CF26/AO$4*100000*AO$3</f>
        <v>0</v>
      </c>
      <c r="AP27" s="356">
        <f>Data!CG26/AP$4*100000*AP$3</f>
        <v>0</v>
      </c>
      <c r="AQ27" s="356">
        <f>Data!CH26/AQ$4*100000*AQ$3</f>
        <v>0</v>
      </c>
      <c r="AR27" s="356">
        <f>Data!CI26/AR$4*100000*AR$3</f>
        <v>8408.3074077188267</v>
      </c>
      <c r="AS27" s="356">
        <f>Data!CJ26/AS$4*100000*AS$3</f>
        <v>41010.685561960316</v>
      </c>
      <c r="AT27" s="356">
        <f>Data!CK26/AT$4*100000*AT$3</f>
        <v>47088.897110759812</v>
      </c>
      <c r="AU27" s="356">
        <f>Data!CL26/AU$4*100000*AU$3</f>
        <v>93785.719170387165</v>
      </c>
      <c r="AV27" s="356">
        <f>Data!CM26/AV$4*100000*AV$3</f>
        <v>226038.53681395928</v>
      </c>
      <c r="AW27" s="356">
        <f>Data!CN26/AW$4*100000*AW$3</f>
        <v>272066.70238414139</v>
      </c>
      <c r="AX27" s="356">
        <f>Data!CO26/AX$4*100000*AX$3</f>
        <v>314858.22823799175</v>
      </c>
      <c r="AY27" s="356">
        <f>Data!CP26/AY$4*100000*AY$3</f>
        <v>335436.63008907478</v>
      </c>
      <c r="AZ27" s="356">
        <f>Data!CQ26/AZ$4*100000*AZ$3</f>
        <v>303347.04265036702</v>
      </c>
      <c r="BA27" s="356">
        <f>Data!CR26/BA$4*100000*BA$3</f>
        <v>173369.90725897424</v>
      </c>
      <c r="BB27" s="356">
        <f>Data!CS26/BB$4*100000*BB$3</f>
        <v>77764.337028167967</v>
      </c>
      <c r="BC27" s="356">
        <f>Data!CT26/BC$4*100000*BC$3</f>
        <v>34400.288307178191</v>
      </c>
      <c r="BD27" s="356">
        <f>Data!CU26/BD$4*100000*BD$3</f>
        <v>38541.117286705346</v>
      </c>
    </row>
    <row r="28" spans="1:56" ht="12" customHeight="1">
      <c r="A28" s="67"/>
      <c r="B28" s="150" t="str">
        <f>UPPER(LEFT(TRIM(Data!B27),1)) &amp; MID(TRIM(Data!B27),2,50)</f>
        <v>Kiaušidžių</v>
      </c>
      <c r="C28" s="129" t="str">
        <f>UPPER(LEFT(TRIM(Data!C27),1)) &amp; MID(TRIM(Data!C27),2,50)</f>
        <v>C56</v>
      </c>
      <c r="D28" s="130">
        <f>Data!BQ27</f>
        <v>385</v>
      </c>
      <c r="E28" s="131">
        <f t="shared" si="4"/>
        <v>24.56958553342804</v>
      </c>
      <c r="F28" s="132">
        <f t="shared" si="5"/>
        <v>16.896687208268439</v>
      </c>
      <c r="G28" s="132">
        <f t="shared" si="6"/>
        <v>12.68717316732293</v>
      </c>
      <c r="H28" s="72"/>
      <c r="I28" s="72"/>
      <c r="J28" s="72"/>
      <c r="K28" s="72"/>
      <c r="L28" s="72"/>
      <c r="M28" s="72"/>
      <c r="N28" s="72"/>
      <c r="O28" s="72"/>
      <c r="P28" s="269"/>
      <c r="Q28" s="358" t="s">
        <v>353</v>
      </c>
      <c r="R28" s="356">
        <f t="shared" si="2"/>
        <v>1689668.720826844</v>
      </c>
      <c r="S28" s="356">
        <f>Data!CD27/S$4*100000*S$3</f>
        <v>0</v>
      </c>
      <c r="T28" s="356">
        <f>Data!CE27/T$4*100000*T$3</f>
        <v>10277.190509748651</v>
      </c>
      <c r="U28" s="356">
        <f>Data!CF27/U$4*100000*U$3</f>
        <v>10704.345964461572</v>
      </c>
      <c r="V28" s="356">
        <f>Data!CG27/V$4*100000*V$3</f>
        <v>8661.0081413476546</v>
      </c>
      <c r="W28" s="356">
        <f>Data!CH27/W$4*100000*W$3</f>
        <v>21415.459922496429</v>
      </c>
      <c r="X28" s="356">
        <f>Data!CI27/X$4*100000*X$3</f>
        <v>44143.613890523833</v>
      </c>
      <c r="Y28" s="356">
        <f>Data!CJ27/Y$4*100000*Y$3</f>
        <v>15948.599940762344</v>
      </c>
      <c r="Z28" s="356">
        <f>Data!CK27/Z$4*100000*Z$3</f>
        <v>62785.196147679744</v>
      </c>
      <c r="AA28" s="356">
        <f>Data!CL27/AA$4*100000*AA$3</f>
        <v>102578.13034261097</v>
      </c>
      <c r="AB28" s="356">
        <f>Data!CM27/AB$4*100000*AB$3</f>
        <v>192959.72654850181</v>
      </c>
      <c r="AC28" s="356">
        <f>Data!CN27/AC$4*100000*AC$3</f>
        <v>199236.53897669434</v>
      </c>
      <c r="AD28" s="356">
        <f>Data!CO27/AD$4*100000*AD$3</f>
        <v>189941.64855661459</v>
      </c>
      <c r="AE28" s="356">
        <f>Data!CP27/AE$4*100000*AE$3</f>
        <v>240328.07338698956</v>
      </c>
      <c r="AF28" s="356">
        <f>Data!CQ27/AF$4*100000*AF$3</f>
        <v>186325.52432457</v>
      </c>
      <c r="AG28" s="356">
        <f>Data!CR27/AG$4*100000*AG$3</f>
        <v>181682.16308645933</v>
      </c>
      <c r="AH28" s="356">
        <f>Data!CS27/AH$4*100000*AH$3</f>
        <v>101217.07359221863</v>
      </c>
      <c r="AI28" s="356">
        <f>Data!CT27/AI$4*100000*AI$3</f>
        <v>60610.031779313962</v>
      </c>
      <c r="AJ28" s="356">
        <f>Data!CU27/AJ$4*100000*AJ$3</f>
        <v>60854.395715850544</v>
      </c>
      <c r="AK28" s="358" t="s">
        <v>353</v>
      </c>
      <c r="AL28" s="356">
        <f t="shared" si="3"/>
        <v>1268717.316732293</v>
      </c>
      <c r="AM28" s="356">
        <f>Data!CD27/AM$4*100000*AM$3</f>
        <v>0</v>
      </c>
      <c r="AN28" s="356">
        <f>Data!CE27/AN$4*100000*AN$3</f>
        <v>14681.700728212358</v>
      </c>
      <c r="AO28" s="356">
        <f>Data!CF27/AO$4*100000*AO$3</f>
        <v>13762.730525736308</v>
      </c>
      <c r="AP28" s="356">
        <f>Data!CG27/AP$4*100000*AP$3</f>
        <v>11135.581896018411</v>
      </c>
      <c r="AQ28" s="356">
        <f>Data!CH27/AQ$4*100000*AQ$3</f>
        <v>24474.811339995918</v>
      </c>
      <c r="AR28" s="356">
        <f>Data!CI27/AR$4*100000*AR$3</f>
        <v>50449.844446312949</v>
      </c>
      <c r="AS28" s="356">
        <f>Data!CJ27/AS$4*100000*AS$3</f>
        <v>13670.228520653438</v>
      </c>
      <c r="AT28" s="356">
        <f>Data!CK27/AT$4*100000*AT$3</f>
        <v>53815.882412296924</v>
      </c>
      <c r="AU28" s="356">
        <f>Data!CL27/AU$4*100000*AU$3</f>
        <v>87924.111722237969</v>
      </c>
      <c r="AV28" s="356">
        <f>Data!CM27/AV$4*100000*AV$3</f>
        <v>165394.05132728728</v>
      </c>
      <c r="AW28" s="356">
        <f>Data!CN27/AW$4*100000*AW$3</f>
        <v>142311.81355478166</v>
      </c>
      <c r="AX28" s="356">
        <f>Data!CO27/AX$4*100000*AX$3</f>
        <v>126627.76570440973</v>
      </c>
      <c r="AY28" s="356">
        <f>Data!CP27/AY$4*100000*AY$3</f>
        <v>192262.45870959165</v>
      </c>
      <c r="AZ28" s="356">
        <f>Data!CQ27/AZ$4*100000*AZ$3</f>
        <v>139744.14324342748</v>
      </c>
      <c r="BA28" s="356">
        <f>Data!CR27/BA$4*100000*BA$3</f>
        <v>121121.44205763955</v>
      </c>
      <c r="BB28" s="356">
        <f>Data!CS27/BB$4*100000*BB$3</f>
        <v>50608.536796109314</v>
      </c>
      <c r="BC28" s="356">
        <f>Data!CT27/BC$4*100000*BC$3</f>
        <v>30305.015889656981</v>
      </c>
      <c r="BD28" s="356">
        <f>Data!CU27/BD$4*100000*BD$3</f>
        <v>30427.197857925272</v>
      </c>
    </row>
    <row r="29" spans="1:56" ht="12" customHeight="1">
      <c r="A29" s="67"/>
      <c r="B29" s="293" t="str">
        <f>UPPER(LEFT(TRIM(Data!B30),1)) &amp; MID(TRIM(Data!B30),2,50)</f>
        <v>Kitų lyties organų</v>
      </c>
      <c r="C29" s="294" t="s">
        <v>418</v>
      </c>
      <c r="D29" s="295">
        <f>Data!BQ30</f>
        <v>35</v>
      </c>
      <c r="E29" s="296">
        <f t="shared" si="4"/>
        <v>2.2335986848570943</v>
      </c>
      <c r="F29" s="297">
        <f t="shared" si="5"/>
        <v>1.2332225312418499</v>
      </c>
      <c r="G29" s="297">
        <f t="shared" si="6"/>
        <v>0.84321558219591564</v>
      </c>
      <c r="H29" s="72"/>
      <c r="I29" s="72"/>
      <c r="J29" s="72"/>
      <c r="K29" s="72"/>
      <c r="L29" s="72"/>
      <c r="M29" s="72"/>
      <c r="N29" s="72"/>
      <c r="O29" s="72"/>
      <c r="P29" s="269"/>
      <c r="Q29" s="358" t="s">
        <v>353</v>
      </c>
      <c r="R29" s="356">
        <f t="shared" si="2"/>
        <v>123322.25312418498</v>
      </c>
      <c r="S29" s="356">
        <f>Data!CD30/S$4*100000*S$3</f>
        <v>0</v>
      </c>
      <c r="T29" s="356">
        <f>Data!CE30/T$4*100000*T$3</f>
        <v>0</v>
      </c>
      <c r="U29" s="356">
        <f>Data!CF30/U$4*100000*U$3</f>
        <v>0</v>
      </c>
      <c r="V29" s="356">
        <f>Data!CG30/V$4*100000*V$3</f>
        <v>0</v>
      </c>
      <c r="W29" s="356">
        <f>Data!CH30/W$4*100000*W$3</f>
        <v>0</v>
      </c>
      <c r="X29" s="356">
        <f>Data!CI30/X$4*100000*X$3</f>
        <v>0</v>
      </c>
      <c r="Y29" s="356">
        <f>Data!CJ30/Y$4*100000*Y$3</f>
        <v>0</v>
      </c>
      <c r="Z29" s="356">
        <f>Data!CK30/Z$4*100000*Z$3</f>
        <v>0</v>
      </c>
      <c r="AA29" s="356">
        <f>Data!CL30/AA$4*100000*AA$3</f>
        <v>0</v>
      </c>
      <c r="AB29" s="356">
        <f>Data!CM30/AB$4*100000*AB$3</f>
        <v>19295.972654850182</v>
      </c>
      <c r="AC29" s="356">
        <f>Data!CN30/AC$4*100000*AC$3</f>
        <v>5859.8982051968933</v>
      </c>
      <c r="AD29" s="356">
        <f>Data!CO30/AD$4*100000*AD$3</f>
        <v>10267.116138195383</v>
      </c>
      <c r="AE29" s="356">
        <f>Data!CP30/AE$4*100000*AE$3</f>
        <v>10226.726527105939</v>
      </c>
      <c r="AF29" s="356">
        <f>Data!CQ30/AF$4*100000*AF$3</f>
        <v>31811.674884682681</v>
      </c>
      <c r="AG29" s="356">
        <f>Data!CR30/AG$4*100000*AG$3</f>
        <v>10687.186063909372</v>
      </c>
      <c r="AH29" s="356">
        <f>Data!CS30/AH$4*100000*AH$3</f>
        <v>14812.254672031993</v>
      </c>
      <c r="AI29" s="356">
        <f>Data!CT30/AI$4*100000*AI$3</f>
        <v>8190.5448350424276</v>
      </c>
      <c r="AJ29" s="356">
        <f>Data!CU30/AJ$4*100000*AJ$3</f>
        <v>12170.879143170108</v>
      </c>
      <c r="AK29" s="358" t="s">
        <v>353</v>
      </c>
      <c r="AL29" s="356">
        <f t="shared" si="3"/>
        <v>84321.558219591563</v>
      </c>
      <c r="AM29" s="356">
        <f>Data!CD30/AM$4*100000*AM$3</f>
        <v>0</v>
      </c>
      <c r="AN29" s="356">
        <f>Data!CE30/AN$4*100000*AN$3</f>
        <v>0</v>
      </c>
      <c r="AO29" s="356">
        <f>Data!CF30/AO$4*100000*AO$3</f>
        <v>0</v>
      </c>
      <c r="AP29" s="356">
        <f>Data!CG30/AP$4*100000*AP$3</f>
        <v>0</v>
      </c>
      <c r="AQ29" s="356">
        <f>Data!CH30/AQ$4*100000*AQ$3</f>
        <v>0</v>
      </c>
      <c r="AR29" s="356">
        <f>Data!CI30/AR$4*100000*AR$3</f>
        <v>0</v>
      </c>
      <c r="AS29" s="356">
        <f>Data!CJ30/AS$4*100000*AS$3</f>
        <v>0</v>
      </c>
      <c r="AT29" s="356">
        <f>Data!CK30/AT$4*100000*AT$3</f>
        <v>0</v>
      </c>
      <c r="AU29" s="356">
        <f>Data!CL30/AU$4*100000*AU$3</f>
        <v>0</v>
      </c>
      <c r="AV29" s="356">
        <f>Data!CM30/AV$4*100000*AV$3</f>
        <v>16539.405132728727</v>
      </c>
      <c r="AW29" s="356">
        <f>Data!CN30/AW$4*100000*AW$3</f>
        <v>4185.6415751406375</v>
      </c>
      <c r="AX29" s="356">
        <f>Data!CO30/AX$4*100000*AX$3</f>
        <v>6844.744092130255</v>
      </c>
      <c r="AY29" s="356">
        <f>Data!CP30/AY$4*100000*AY$3</f>
        <v>8181.3812216847509</v>
      </c>
      <c r="AZ29" s="356">
        <f>Data!CQ30/AZ$4*100000*AZ$3</f>
        <v>23858.756163512011</v>
      </c>
      <c r="BA29" s="356">
        <f>Data!CR30/BA$4*100000*BA$3</f>
        <v>7124.7907092729147</v>
      </c>
      <c r="BB29" s="356">
        <f>Data!CS30/BB$4*100000*BB$3</f>
        <v>7406.1273360159967</v>
      </c>
      <c r="BC29" s="356">
        <f>Data!CT30/BC$4*100000*BC$3</f>
        <v>4095.2724175212138</v>
      </c>
      <c r="BD29" s="356">
        <f>Data!CU30/BD$4*100000*BD$3</f>
        <v>6085.4395715850542</v>
      </c>
    </row>
    <row r="30" spans="1:56" ht="12" customHeight="1">
      <c r="A30" s="67"/>
      <c r="B30" s="150" t="str">
        <f>UPPER(LEFT(TRIM(Data!B31),1)) &amp; MID(TRIM(Data!B31),2,50)</f>
        <v>Inkstų</v>
      </c>
      <c r="C30" s="129" t="str">
        <f>UPPER(LEFT(TRIM(Data!C31),1)) &amp; MID(TRIM(Data!C31),2,50)</f>
        <v>C64</v>
      </c>
      <c r="D30" s="130">
        <f>Data!BQ31</f>
        <v>283</v>
      </c>
      <c r="E30" s="131">
        <f t="shared" si="4"/>
        <v>18.060240794701649</v>
      </c>
      <c r="F30" s="132">
        <f t="shared" si="5"/>
        <v>11.242278821178584</v>
      </c>
      <c r="G30" s="132">
        <f t="shared" si="6"/>
        <v>8.1420778641656781</v>
      </c>
      <c r="H30" s="72"/>
      <c r="I30" s="72"/>
      <c r="J30" s="72"/>
      <c r="K30" s="72"/>
      <c r="L30" s="72"/>
      <c r="M30" s="72"/>
      <c r="N30" s="72"/>
      <c r="O30" s="72"/>
      <c r="P30" s="269"/>
      <c r="Q30" s="358" t="s">
        <v>353</v>
      </c>
      <c r="R30" s="356">
        <f t="shared" si="2"/>
        <v>1124227.8821178584</v>
      </c>
      <c r="S30" s="356">
        <f>Data!CD31/S$4*100000*S$3</f>
        <v>21747.108314191348</v>
      </c>
      <c r="T30" s="356">
        <f>Data!CE31/T$4*100000*T$3</f>
        <v>10277.190509748651</v>
      </c>
      <c r="U30" s="356">
        <f>Data!CF31/U$4*100000*U$3</f>
        <v>0</v>
      </c>
      <c r="V30" s="356">
        <f>Data!CG31/V$4*100000*V$3</f>
        <v>8661.0081413476546</v>
      </c>
      <c r="W30" s="356">
        <f>Data!CH31/W$4*100000*W$3</f>
        <v>7138.4866408321441</v>
      </c>
      <c r="X30" s="356">
        <f>Data!CI31/X$4*100000*X$3</f>
        <v>0</v>
      </c>
      <c r="Y30" s="356">
        <f>Data!CJ31/Y$4*100000*Y$3</f>
        <v>0</v>
      </c>
      <c r="Z30" s="356">
        <f>Data!CK31/Z$4*100000*Z$3</f>
        <v>23544.448555379902</v>
      </c>
      <c r="AA30" s="356">
        <f>Data!CL31/AA$4*100000*AA$3</f>
        <v>20515.62606852219</v>
      </c>
      <c r="AB30" s="356">
        <f>Data!CM31/AB$4*100000*AB$3</f>
        <v>38591.945309700364</v>
      </c>
      <c r="AC30" s="356">
        <f>Data!CN31/AC$4*100000*AC$3</f>
        <v>117197.96410393783</v>
      </c>
      <c r="AD30" s="356">
        <f>Data!CO31/AD$4*100000*AD$3</f>
        <v>123205.39365834459</v>
      </c>
      <c r="AE30" s="356">
        <f>Data!CP31/AE$4*100000*AE$3</f>
        <v>189194.44075145986</v>
      </c>
      <c r="AF30" s="356">
        <f>Data!CQ31/AF$4*100000*AF$3</f>
        <v>236315.29914335706</v>
      </c>
      <c r="AG30" s="356">
        <f>Data!CR31/AG$4*100000*AG$3</f>
        <v>110434.25599373018</v>
      </c>
      <c r="AH30" s="356">
        <f>Data!CS31/AH$4*100000*AH$3</f>
        <v>133310.29204828796</v>
      </c>
      <c r="AI30" s="356">
        <f>Data!CT31/AI$4*100000*AI$3</f>
        <v>55695.704878288503</v>
      </c>
      <c r="AJ30" s="356">
        <f>Data!CU31/AJ$4*100000*AJ$3</f>
        <v>28398.718000730256</v>
      </c>
      <c r="AK30" s="358" t="s">
        <v>353</v>
      </c>
      <c r="AL30" s="356">
        <f t="shared" si="3"/>
        <v>814207.78641656786</v>
      </c>
      <c r="AM30" s="356">
        <f>Data!CD31/AM$4*100000*AM$3</f>
        <v>32620.662471287022</v>
      </c>
      <c r="AN30" s="356">
        <f>Data!CE31/AN$4*100000*AN$3</f>
        <v>14681.700728212358</v>
      </c>
      <c r="AO30" s="356">
        <f>Data!CF31/AO$4*100000*AO$3</f>
        <v>0</v>
      </c>
      <c r="AP30" s="356">
        <f>Data!CG31/AP$4*100000*AP$3</f>
        <v>11135.581896018411</v>
      </c>
      <c r="AQ30" s="356">
        <f>Data!CH31/AQ$4*100000*AQ$3</f>
        <v>8158.2704466653076</v>
      </c>
      <c r="AR30" s="356">
        <f>Data!CI31/AR$4*100000*AR$3</f>
        <v>0</v>
      </c>
      <c r="AS30" s="356">
        <f>Data!CJ31/AS$4*100000*AS$3</f>
        <v>0</v>
      </c>
      <c r="AT30" s="356">
        <f>Data!CK31/AT$4*100000*AT$3</f>
        <v>20180.955904611346</v>
      </c>
      <c r="AU30" s="356">
        <f>Data!CL31/AU$4*100000*AU$3</f>
        <v>17584.822344447592</v>
      </c>
      <c r="AV30" s="356">
        <f>Data!CM31/AV$4*100000*AV$3</f>
        <v>33078.810265457454</v>
      </c>
      <c r="AW30" s="356">
        <f>Data!CN31/AW$4*100000*AW$3</f>
        <v>83712.83150281274</v>
      </c>
      <c r="AX30" s="356">
        <f>Data!CO31/AX$4*100000*AX$3</f>
        <v>82136.92910556306</v>
      </c>
      <c r="AY30" s="356">
        <f>Data!CP31/AY$4*100000*AY$3</f>
        <v>151355.55260116787</v>
      </c>
      <c r="AZ30" s="356">
        <f>Data!CQ31/AZ$4*100000*AZ$3</f>
        <v>177236.47435751779</v>
      </c>
      <c r="BA30" s="356">
        <f>Data!CR31/BA$4*100000*BA$3</f>
        <v>73622.837329153452</v>
      </c>
      <c r="BB30" s="356">
        <f>Data!CS31/BB$4*100000*BB$3</f>
        <v>66655.146024143978</v>
      </c>
      <c r="BC30" s="356">
        <f>Data!CT31/BC$4*100000*BC$3</f>
        <v>27847.852439144252</v>
      </c>
      <c r="BD30" s="356">
        <f>Data!CU31/BD$4*100000*BD$3</f>
        <v>14199.359000365128</v>
      </c>
    </row>
    <row r="31" spans="1:56" ht="12" customHeight="1">
      <c r="A31" s="67"/>
      <c r="B31" s="293" t="str">
        <f>UPPER(LEFT(TRIM(Data!B32),1)) &amp; MID(TRIM(Data!B32),2,50)</f>
        <v>Šlapimo pūslės</v>
      </c>
      <c r="C31" s="294" t="str">
        <f>UPPER(LEFT(TRIM(Data!C32),1)) &amp; MID(TRIM(Data!C32),2,50)</f>
        <v>C67</v>
      </c>
      <c r="D31" s="295">
        <f>Data!BQ32</f>
        <v>93</v>
      </c>
      <c r="E31" s="296">
        <f t="shared" si="4"/>
        <v>5.9349907911917077</v>
      </c>
      <c r="F31" s="297">
        <f t="shared" si="5"/>
        <v>2.8295256037008469</v>
      </c>
      <c r="G31" s="297">
        <f t="shared" si="6"/>
        <v>1.8297888862386442</v>
      </c>
      <c r="H31" s="72"/>
      <c r="I31" s="72"/>
      <c r="J31" s="72"/>
      <c r="K31" s="72"/>
      <c r="L31" s="72"/>
      <c r="M31" s="72"/>
      <c r="N31" s="72"/>
      <c r="O31" s="72"/>
      <c r="P31" s="269"/>
      <c r="Q31" s="358" t="s">
        <v>353</v>
      </c>
      <c r="R31" s="356">
        <f t="shared" si="2"/>
        <v>282952.56037008471</v>
      </c>
      <c r="S31" s="356">
        <f>Data!CD32/S$4*100000*S$3</f>
        <v>0</v>
      </c>
      <c r="T31" s="356">
        <f>Data!CE32/T$4*100000*T$3</f>
        <v>0</v>
      </c>
      <c r="U31" s="356">
        <f>Data!CF32/U$4*100000*U$3</f>
        <v>0</v>
      </c>
      <c r="V31" s="356">
        <f>Data!CG32/V$4*100000*V$3</f>
        <v>0</v>
      </c>
      <c r="W31" s="356">
        <f>Data!CH32/W$4*100000*W$3</f>
        <v>0</v>
      </c>
      <c r="X31" s="356">
        <f>Data!CI32/X$4*100000*X$3</f>
        <v>0</v>
      </c>
      <c r="Y31" s="356">
        <f>Data!CJ32/Y$4*100000*Y$3</f>
        <v>0</v>
      </c>
      <c r="Z31" s="356">
        <f>Data!CK32/Z$4*100000*Z$3</f>
        <v>15696.299036919936</v>
      </c>
      <c r="AA31" s="356">
        <f>Data!CL32/AA$4*100000*AA$3</f>
        <v>0</v>
      </c>
      <c r="AB31" s="356">
        <f>Data!CM32/AB$4*100000*AB$3</f>
        <v>6431.9908849500598</v>
      </c>
      <c r="AC31" s="356">
        <f>Data!CN32/AC$4*100000*AC$3</f>
        <v>17579.694615590677</v>
      </c>
      <c r="AD31" s="356">
        <f>Data!CO32/AD$4*100000*AD$3</f>
        <v>5133.5580690976913</v>
      </c>
      <c r="AE31" s="356">
        <f>Data!CP32/AE$4*100000*AE$3</f>
        <v>40906.906108423755</v>
      </c>
      <c r="AF31" s="356">
        <f>Data!CQ32/AF$4*100000*AF$3</f>
        <v>45445.249835260976</v>
      </c>
      <c r="AG31" s="356">
        <f>Data!CR32/AG$4*100000*AG$3</f>
        <v>32061.558191728116</v>
      </c>
      <c r="AH31" s="356">
        <f>Data!CS32/AH$4*100000*AH$3</f>
        <v>39499.345792085325</v>
      </c>
      <c r="AI31" s="356">
        <f>Data!CT32/AI$4*100000*AI$3</f>
        <v>29485.961406152739</v>
      </c>
      <c r="AJ31" s="356">
        <f>Data!CU32/AJ$4*100000*AJ$3</f>
        <v>50711.996429875457</v>
      </c>
      <c r="AK31" s="358" t="s">
        <v>353</v>
      </c>
      <c r="AL31" s="356">
        <f t="shared" si="3"/>
        <v>182978.88862386442</v>
      </c>
      <c r="AM31" s="356">
        <f>Data!CD32/AM$4*100000*AM$3</f>
        <v>0</v>
      </c>
      <c r="AN31" s="356">
        <f>Data!CE32/AN$4*100000*AN$3</f>
        <v>0</v>
      </c>
      <c r="AO31" s="356">
        <f>Data!CF32/AO$4*100000*AO$3</f>
        <v>0</v>
      </c>
      <c r="AP31" s="356">
        <f>Data!CG32/AP$4*100000*AP$3</f>
        <v>0</v>
      </c>
      <c r="AQ31" s="356">
        <f>Data!CH32/AQ$4*100000*AQ$3</f>
        <v>0</v>
      </c>
      <c r="AR31" s="356">
        <f>Data!CI32/AR$4*100000*AR$3</f>
        <v>0</v>
      </c>
      <c r="AS31" s="356">
        <f>Data!CJ32/AS$4*100000*AS$3</f>
        <v>0</v>
      </c>
      <c r="AT31" s="356">
        <f>Data!CK32/AT$4*100000*AT$3</f>
        <v>13453.970603074231</v>
      </c>
      <c r="AU31" s="356">
        <f>Data!CL32/AU$4*100000*AU$3</f>
        <v>0</v>
      </c>
      <c r="AV31" s="356">
        <f>Data!CM32/AV$4*100000*AV$3</f>
        <v>5513.1350442429084</v>
      </c>
      <c r="AW31" s="356">
        <f>Data!CN32/AW$4*100000*AW$3</f>
        <v>12556.924725421912</v>
      </c>
      <c r="AX31" s="356">
        <f>Data!CO32/AX$4*100000*AX$3</f>
        <v>3422.3720460651275</v>
      </c>
      <c r="AY31" s="356">
        <f>Data!CP32/AY$4*100000*AY$3</f>
        <v>32725.524886739004</v>
      </c>
      <c r="AZ31" s="356">
        <f>Data!CQ32/AZ$4*100000*AZ$3</f>
        <v>34083.937376445727</v>
      </c>
      <c r="BA31" s="356">
        <f>Data!CR32/BA$4*100000*BA$3</f>
        <v>21374.372127818744</v>
      </c>
      <c r="BB31" s="356">
        <f>Data!CS32/BB$4*100000*BB$3</f>
        <v>19749.672896042663</v>
      </c>
      <c r="BC31" s="356">
        <f>Data!CT32/BC$4*100000*BC$3</f>
        <v>14742.98070307637</v>
      </c>
      <c r="BD31" s="356">
        <f>Data!CU32/BD$4*100000*BD$3</f>
        <v>25355.998214937728</v>
      </c>
    </row>
    <row r="32" spans="1:56" ht="12" customHeight="1">
      <c r="A32" s="67"/>
      <c r="B32" s="150" t="str">
        <f>UPPER(LEFT(TRIM(Data!B33),1)) &amp; MID(TRIM(Data!B33),2,50)</f>
        <v>Kitų šlapimą išskiriančių organų</v>
      </c>
      <c r="C32" s="129" t="str">
        <f>UPPER(LEFT(TRIM(Data!C33),1)) &amp; MID(TRIM(Data!C33),2,50)</f>
        <v>C65, C66, C68</v>
      </c>
      <c r="D32" s="130">
        <f>Data!BQ33</f>
        <v>26</v>
      </c>
      <c r="E32" s="131">
        <f t="shared" si="4"/>
        <v>1.6592447373224128</v>
      </c>
      <c r="F32" s="132">
        <f t="shared" si="5"/>
        <v>0.7620108527435</v>
      </c>
      <c r="G32" s="132">
        <f t="shared" si="6"/>
        <v>0.49003332508286584</v>
      </c>
      <c r="H32" s="72"/>
      <c r="I32" s="72"/>
      <c r="J32" s="72"/>
      <c r="K32" s="72"/>
      <c r="L32" s="72"/>
      <c r="M32" s="72"/>
      <c r="N32" s="72"/>
      <c r="O32" s="72"/>
      <c r="P32" s="269"/>
      <c r="Q32" s="358" t="s">
        <v>353</v>
      </c>
      <c r="R32" s="356">
        <f t="shared" si="2"/>
        <v>76201.08527435</v>
      </c>
      <c r="S32" s="356">
        <f>Data!CD33/S$4*100000*S$3</f>
        <v>0</v>
      </c>
      <c r="T32" s="356">
        <f>Data!CE33/T$4*100000*T$3</f>
        <v>0</v>
      </c>
      <c r="U32" s="356">
        <f>Data!CF33/U$4*100000*U$3</f>
        <v>0</v>
      </c>
      <c r="V32" s="356">
        <f>Data!CG33/V$4*100000*V$3</f>
        <v>0</v>
      </c>
      <c r="W32" s="356">
        <f>Data!CH33/W$4*100000*W$3</f>
        <v>0</v>
      </c>
      <c r="X32" s="356">
        <f>Data!CI33/X$4*100000*X$3</f>
        <v>0</v>
      </c>
      <c r="Y32" s="356">
        <f>Data!CJ33/Y$4*100000*Y$3</f>
        <v>0</v>
      </c>
      <c r="Z32" s="356">
        <f>Data!CK33/Z$4*100000*Z$3</f>
        <v>0</v>
      </c>
      <c r="AA32" s="356">
        <f>Data!CL33/AA$4*100000*AA$3</f>
        <v>0</v>
      </c>
      <c r="AB32" s="356">
        <f>Data!CM33/AB$4*100000*AB$3</f>
        <v>0</v>
      </c>
      <c r="AC32" s="356">
        <f>Data!CN33/AC$4*100000*AC$3</f>
        <v>5859.8982051968933</v>
      </c>
      <c r="AD32" s="356">
        <f>Data!CO33/AD$4*100000*AD$3</f>
        <v>0</v>
      </c>
      <c r="AE32" s="356">
        <f>Data!CP33/AE$4*100000*AE$3</f>
        <v>20453.453054211877</v>
      </c>
      <c r="AF32" s="356">
        <f>Data!CQ33/AF$4*100000*AF$3</f>
        <v>4544.5249835260975</v>
      </c>
      <c r="AG32" s="356">
        <f>Data!CR33/AG$4*100000*AG$3</f>
        <v>14249.581418545829</v>
      </c>
      <c r="AH32" s="356">
        <f>Data!CS33/AH$4*100000*AH$3</f>
        <v>9874.8364480213313</v>
      </c>
      <c r="AI32" s="356">
        <f>Data!CT33/AI$4*100000*AI$3</f>
        <v>13104.871736067886</v>
      </c>
      <c r="AJ32" s="356">
        <f>Data!CU33/AJ$4*100000*AJ$3</f>
        <v>8113.9194287800719</v>
      </c>
      <c r="AK32" s="358" t="s">
        <v>353</v>
      </c>
      <c r="AL32" s="356">
        <f t="shared" si="3"/>
        <v>49003.332508286585</v>
      </c>
      <c r="AM32" s="356">
        <f>Data!CD33/AM$4*100000*AM$3</f>
        <v>0</v>
      </c>
      <c r="AN32" s="356">
        <f>Data!CE33/AN$4*100000*AN$3</f>
        <v>0</v>
      </c>
      <c r="AO32" s="356">
        <f>Data!CF33/AO$4*100000*AO$3</f>
        <v>0</v>
      </c>
      <c r="AP32" s="356">
        <f>Data!CG33/AP$4*100000*AP$3</f>
        <v>0</v>
      </c>
      <c r="AQ32" s="356">
        <f>Data!CH33/AQ$4*100000*AQ$3</f>
        <v>0</v>
      </c>
      <c r="AR32" s="356">
        <f>Data!CI33/AR$4*100000*AR$3</f>
        <v>0</v>
      </c>
      <c r="AS32" s="356">
        <f>Data!CJ33/AS$4*100000*AS$3</f>
        <v>0</v>
      </c>
      <c r="AT32" s="356">
        <f>Data!CK33/AT$4*100000*AT$3</f>
        <v>0</v>
      </c>
      <c r="AU32" s="356">
        <f>Data!CL33/AU$4*100000*AU$3</f>
        <v>0</v>
      </c>
      <c r="AV32" s="356">
        <f>Data!CM33/AV$4*100000*AV$3</f>
        <v>0</v>
      </c>
      <c r="AW32" s="356">
        <f>Data!CN33/AW$4*100000*AW$3</f>
        <v>4185.6415751406375</v>
      </c>
      <c r="AX32" s="356">
        <f>Data!CO33/AX$4*100000*AX$3</f>
        <v>0</v>
      </c>
      <c r="AY32" s="356">
        <f>Data!CP33/AY$4*100000*AY$3</f>
        <v>16362.762443369502</v>
      </c>
      <c r="AZ32" s="356">
        <f>Data!CQ33/AZ$4*100000*AZ$3</f>
        <v>3408.3937376445729</v>
      </c>
      <c r="BA32" s="356">
        <f>Data!CR33/BA$4*100000*BA$3</f>
        <v>9499.7209456972196</v>
      </c>
      <c r="BB32" s="356">
        <f>Data!CS33/BB$4*100000*BB$3</f>
        <v>4937.4182240106657</v>
      </c>
      <c r="BC32" s="356">
        <f>Data!CT33/BC$4*100000*BC$3</f>
        <v>6552.4358680339428</v>
      </c>
      <c r="BD32" s="356">
        <f>Data!CU33/BD$4*100000*BD$3</f>
        <v>4056.959714390036</v>
      </c>
    </row>
    <row r="33" spans="1:56" ht="12" customHeight="1">
      <c r="A33" s="67"/>
      <c r="B33" s="293" t="str">
        <f>UPPER(LEFT(TRIM(Data!B34),1)) &amp; MID(TRIM(Data!B34),2,50)</f>
        <v>Akių</v>
      </c>
      <c r="C33" s="294" t="str">
        <f>UPPER(LEFT(TRIM(Data!C34),1)) &amp; MID(TRIM(Data!C34),2,50)</f>
        <v>C69</v>
      </c>
      <c r="D33" s="295">
        <f>Data!BQ34</f>
        <v>17</v>
      </c>
      <c r="E33" s="296">
        <f t="shared" si="4"/>
        <v>1.0848907897877316</v>
      </c>
      <c r="F33" s="297">
        <f t="shared" si="5"/>
        <v>0.61850310248681362</v>
      </c>
      <c r="G33" s="297">
        <f t="shared" si="6"/>
        <v>0.42718995244976204</v>
      </c>
      <c r="H33" s="72"/>
      <c r="I33" s="72"/>
      <c r="J33" s="72"/>
      <c r="K33" s="72"/>
      <c r="L33" s="72"/>
      <c r="M33" s="72"/>
      <c r="N33" s="72"/>
      <c r="O33" s="72"/>
      <c r="P33" s="269"/>
      <c r="Q33" s="358" t="s">
        <v>353</v>
      </c>
      <c r="R33" s="356">
        <f t="shared" si="2"/>
        <v>61850.310248681366</v>
      </c>
      <c r="S33" s="356">
        <f>Data!CD34/S$4*100000*S$3</f>
        <v>0</v>
      </c>
      <c r="T33" s="356">
        <f>Data!CE34/T$4*100000*T$3</f>
        <v>0</v>
      </c>
      <c r="U33" s="356">
        <f>Data!CF34/U$4*100000*U$3</f>
        <v>0</v>
      </c>
      <c r="V33" s="356">
        <f>Data!CG34/V$4*100000*V$3</f>
        <v>0</v>
      </c>
      <c r="W33" s="356">
        <f>Data!CH34/W$4*100000*W$3</f>
        <v>0</v>
      </c>
      <c r="X33" s="356">
        <f>Data!CI34/X$4*100000*X$3</f>
        <v>0</v>
      </c>
      <c r="Y33" s="356">
        <f>Data!CJ34/Y$4*100000*Y$3</f>
        <v>0</v>
      </c>
      <c r="Z33" s="356">
        <f>Data!CK34/Z$4*100000*Z$3</f>
        <v>0</v>
      </c>
      <c r="AA33" s="356">
        <f>Data!CL34/AA$4*100000*AA$3</f>
        <v>13677.084045681462</v>
      </c>
      <c r="AB33" s="356">
        <f>Data!CM34/AB$4*100000*AB$3</f>
        <v>0</v>
      </c>
      <c r="AC33" s="356">
        <f>Data!CN34/AC$4*100000*AC$3</f>
        <v>5859.8982051968933</v>
      </c>
      <c r="AD33" s="356">
        <f>Data!CO34/AD$4*100000*AD$3</f>
        <v>5133.5580690976913</v>
      </c>
      <c r="AE33" s="356">
        <f>Data!CP34/AE$4*100000*AE$3</f>
        <v>10226.726527105939</v>
      </c>
      <c r="AF33" s="356">
        <f>Data!CQ34/AF$4*100000*AF$3</f>
        <v>4544.5249835260975</v>
      </c>
      <c r="AG33" s="356">
        <f>Data!CR34/AG$4*100000*AG$3</f>
        <v>3562.3953546364573</v>
      </c>
      <c r="AH33" s="356">
        <f>Data!CS34/AH$4*100000*AH$3</f>
        <v>9874.8364480213313</v>
      </c>
      <c r="AI33" s="356">
        <f>Data!CT34/AI$4*100000*AI$3</f>
        <v>4914.3269010254562</v>
      </c>
      <c r="AJ33" s="356">
        <f>Data!CU34/AJ$4*100000*AJ$3</f>
        <v>4056.959714390036</v>
      </c>
      <c r="AK33" s="358" t="s">
        <v>353</v>
      </c>
      <c r="AL33" s="356">
        <f t="shared" si="3"/>
        <v>42718.995244976206</v>
      </c>
      <c r="AM33" s="356">
        <f>Data!CD34/AM$4*100000*AM$3</f>
        <v>0</v>
      </c>
      <c r="AN33" s="356">
        <f>Data!CE34/AN$4*100000*AN$3</f>
        <v>0</v>
      </c>
      <c r="AO33" s="356">
        <f>Data!CF34/AO$4*100000*AO$3</f>
        <v>0</v>
      </c>
      <c r="AP33" s="356">
        <f>Data!CG34/AP$4*100000*AP$3</f>
        <v>0</v>
      </c>
      <c r="AQ33" s="356">
        <f>Data!CH34/AQ$4*100000*AQ$3</f>
        <v>0</v>
      </c>
      <c r="AR33" s="356">
        <f>Data!CI34/AR$4*100000*AR$3</f>
        <v>0</v>
      </c>
      <c r="AS33" s="356">
        <f>Data!CJ34/AS$4*100000*AS$3</f>
        <v>0</v>
      </c>
      <c r="AT33" s="356">
        <f>Data!CK34/AT$4*100000*AT$3</f>
        <v>0</v>
      </c>
      <c r="AU33" s="356">
        <f>Data!CL34/AU$4*100000*AU$3</f>
        <v>11723.214896298396</v>
      </c>
      <c r="AV33" s="356">
        <f>Data!CM34/AV$4*100000*AV$3</f>
        <v>0</v>
      </c>
      <c r="AW33" s="356">
        <f>Data!CN34/AW$4*100000*AW$3</f>
        <v>4185.6415751406375</v>
      </c>
      <c r="AX33" s="356">
        <f>Data!CO34/AX$4*100000*AX$3</f>
        <v>3422.3720460651275</v>
      </c>
      <c r="AY33" s="356">
        <f>Data!CP34/AY$4*100000*AY$3</f>
        <v>8181.3812216847509</v>
      </c>
      <c r="AZ33" s="356">
        <f>Data!CQ34/AZ$4*100000*AZ$3</f>
        <v>3408.3937376445729</v>
      </c>
      <c r="BA33" s="356">
        <f>Data!CR34/BA$4*100000*BA$3</f>
        <v>2374.9302364243049</v>
      </c>
      <c r="BB33" s="356">
        <f>Data!CS34/BB$4*100000*BB$3</f>
        <v>4937.4182240106657</v>
      </c>
      <c r="BC33" s="356">
        <f>Data!CT34/BC$4*100000*BC$3</f>
        <v>2457.1634505127281</v>
      </c>
      <c r="BD33" s="356">
        <f>Data!CU34/BD$4*100000*BD$3</f>
        <v>2028.479857195018</v>
      </c>
    </row>
    <row r="34" spans="1:56" ht="12" customHeight="1">
      <c r="A34" s="67"/>
      <c r="B34" s="150" t="str">
        <f>UPPER(LEFT(TRIM(Data!B35),1)) &amp; MID(TRIM(Data!B35),2,50)</f>
        <v>Smegenų</v>
      </c>
      <c r="C34" s="129" t="str">
        <f>UPPER(LEFT(TRIM(Data!C35),1)) &amp; MID(TRIM(Data!C35),2,50)</f>
        <v>C70-C72</v>
      </c>
      <c r="D34" s="130">
        <f>Data!BQ35</f>
        <v>141</v>
      </c>
      <c r="E34" s="131">
        <f t="shared" si="4"/>
        <v>8.9982118447100081</v>
      </c>
      <c r="F34" s="132">
        <f t="shared" si="5"/>
        <v>6.6379822769535437</v>
      </c>
      <c r="G34" s="132">
        <f t="shared" si="6"/>
        <v>5.6945022692647882</v>
      </c>
      <c r="H34" s="72"/>
      <c r="I34" s="72"/>
      <c r="J34" s="72"/>
      <c r="K34" s="72"/>
      <c r="L34" s="72"/>
      <c r="M34" s="72"/>
      <c r="N34" s="72"/>
      <c r="O34" s="72"/>
      <c r="P34" s="269"/>
      <c r="Q34" s="358" t="s">
        <v>353</v>
      </c>
      <c r="R34" s="356">
        <f t="shared" si="2"/>
        <v>663798.22769535438</v>
      </c>
      <c r="S34" s="356">
        <f>Data!CD35/S$4*100000*S$3</f>
        <v>21747.108314191348</v>
      </c>
      <c r="T34" s="356">
        <f>Data!CE35/T$4*100000*T$3</f>
        <v>71940.333568240545</v>
      </c>
      <c r="U34" s="356">
        <f>Data!CF35/U$4*100000*U$3</f>
        <v>10704.345964461572</v>
      </c>
      <c r="V34" s="356">
        <f>Data!CG35/V$4*100000*V$3</f>
        <v>0</v>
      </c>
      <c r="W34" s="356">
        <f>Data!CH35/W$4*100000*W$3</f>
        <v>28553.946563328576</v>
      </c>
      <c r="X34" s="356">
        <f>Data!CI35/X$4*100000*X$3</f>
        <v>22071.806945261917</v>
      </c>
      <c r="Y34" s="356">
        <f>Data!CJ35/Y$4*100000*Y$3</f>
        <v>31897.199881524688</v>
      </c>
      <c r="Z34" s="356">
        <f>Data!CK35/Z$4*100000*Z$3</f>
        <v>0</v>
      </c>
      <c r="AA34" s="356">
        <f>Data!CL35/AA$4*100000*AA$3</f>
        <v>20515.62606852219</v>
      </c>
      <c r="AB34" s="356">
        <f>Data!CM35/AB$4*100000*AB$3</f>
        <v>25727.963539800239</v>
      </c>
      <c r="AC34" s="356">
        <f>Data!CN35/AC$4*100000*AC$3</f>
        <v>64458.880257165809</v>
      </c>
      <c r="AD34" s="356">
        <f>Data!CO35/AD$4*100000*AD$3</f>
        <v>41068.46455278153</v>
      </c>
      <c r="AE34" s="356">
        <f>Data!CP35/AE$4*100000*AE$3</f>
        <v>71587.08568974158</v>
      </c>
      <c r="AF34" s="356">
        <f>Data!CQ35/AF$4*100000*AF$3</f>
        <v>104524.07462110023</v>
      </c>
      <c r="AG34" s="356">
        <f>Data!CR35/AG$4*100000*AG$3</f>
        <v>71247.907092729147</v>
      </c>
      <c r="AH34" s="356">
        <f>Data!CS35/AH$4*100000*AH$3</f>
        <v>37030.636680079988</v>
      </c>
      <c r="AI34" s="356">
        <f>Data!CT35/AI$4*100000*AI$3</f>
        <v>16381.089670084855</v>
      </c>
      <c r="AJ34" s="356">
        <f>Data!CU35/AJ$4*100000*AJ$3</f>
        <v>24341.758286340217</v>
      </c>
      <c r="AK34" s="358" t="s">
        <v>353</v>
      </c>
      <c r="AL34" s="356">
        <f t="shared" si="3"/>
        <v>569450.22692647879</v>
      </c>
      <c r="AM34" s="356">
        <f>Data!CD35/AM$4*100000*AM$3</f>
        <v>32620.662471287022</v>
      </c>
      <c r="AN34" s="356">
        <f>Data!CE35/AN$4*100000*AN$3</f>
        <v>102771.90509748649</v>
      </c>
      <c r="AO34" s="356">
        <f>Data!CF35/AO$4*100000*AO$3</f>
        <v>13762.730525736308</v>
      </c>
      <c r="AP34" s="356">
        <f>Data!CG35/AP$4*100000*AP$3</f>
        <v>0</v>
      </c>
      <c r="AQ34" s="356">
        <f>Data!CH35/AQ$4*100000*AQ$3</f>
        <v>32633.081786661231</v>
      </c>
      <c r="AR34" s="356">
        <f>Data!CI35/AR$4*100000*AR$3</f>
        <v>25224.922223156475</v>
      </c>
      <c r="AS34" s="356">
        <f>Data!CJ35/AS$4*100000*AS$3</f>
        <v>27340.457041306876</v>
      </c>
      <c r="AT34" s="356">
        <f>Data!CK35/AT$4*100000*AT$3</f>
        <v>0</v>
      </c>
      <c r="AU34" s="356">
        <f>Data!CL35/AU$4*100000*AU$3</f>
        <v>17584.822344447592</v>
      </c>
      <c r="AV34" s="356">
        <f>Data!CM35/AV$4*100000*AV$3</f>
        <v>22052.540176971634</v>
      </c>
      <c r="AW34" s="356">
        <f>Data!CN35/AW$4*100000*AW$3</f>
        <v>46042.057326547008</v>
      </c>
      <c r="AX34" s="356">
        <f>Data!CO35/AX$4*100000*AX$3</f>
        <v>27378.97636852102</v>
      </c>
      <c r="AY34" s="356">
        <f>Data!CP35/AY$4*100000*AY$3</f>
        <v>57269.668551793256</v>
      </c>
      <c r="AZ34" s="356">
        <f>Data!CQ35/AZ$4*100000*AZ$3</f>
        <v>78393.055965825173</v>
      </c>
      <c r="BA34" s="356">
        <f>Data!CR35/BA$4*100000*BA$3</f>
        <v>47498.604728486098</v>
      </c>
      <c r="BB34" s="356">
        <f>Data!CS35/BB$4*100000*BB$3</f>
        <v>18515.318340039994</v>
      </c>
      <c r="BC34" s="356">
        <f>Data!CT35/BC$4*100000*BC$3</f>
        <v>8190.5448350424276</v>
      </c>
      <c r="BD34" s="356">
        <f>Data!CU35/BD$4*100000*BD$3</f>
        <v>12170.879143170108</v>
      </c>
    </row>
    <row r="35" spans="1:56" ht="12" customHeight="1">
      <c r="A35" s="67"/>
      <c r="B35" s="293" t="str">
        <f>UPPER(LEFT(TRIM(Data!B36),1)) &amp; MID(TRIM(Data!B36),2,50)</f>
        <v>Skydliaukės</v>
      </c>
      <c r="C35" s="294" t="str">
        <f>UPPER(LEFT(TRIM(Data!C36),1)) &amp; MID(TRIM(Data!C36),2,50)</f>
        <v>C73</v>
      </c>
      <c r="D35" s="295">
        <f>Data!BQ36</f>
        <v>282</v>
      </c>
      <c r="E35" s="296">
        <f t="shared" si="4"/>
        <v>17.996423689420016</v>
      </c>
      <c r="F35" s="297">
        <f t="shared" si="5"/>
        <v>15.774578227541019</v>
      </c>
      <c r="G35" s="297">
        <f t="shared" si="6"/>
        <v>12.919166686926385</v>
      </c>
      <c r="H35" s="72"/>
      <c r="I35" s="72"/>
      <c r="J35" s="72"/>
      <c r="K35" s="72"/>
      <c r="L35" s="72"/>
      <c r="M35" s="72"/>
      <c r="N35" s="72"/>
      <c r="O35" s="72"/>
      <c r="P35" s="269"/>
      <c r="Q35" s="358" t="s">
        <v>353</v>
      </c>
      <c r="R35" s="356">
        <f t="shared" si="2"/>
        <v>1577457.8227541018</v>
      </c>
      <c r="S35" s="356">
        <f>Data!CD36/S$4*100000*S$3</f>
        <v>0</v>
      </c>
      <c r="T35" s="356">
        <f>Data!CE36/T$4*100000*T$3</f>
        <v>0</v>
      </c>
      <c r="U35" s="356">
        <f>Data!CF36/U$4*100000*U$3</f>
        <v>0</v>
      </c>
      <c r="V35" s="356">
        <f>Data!CG36/V$4*100000*V$3</f>
        <v>51966.04884808592</v>
      </c>
      <c r="W35" s="356">
        <f>Data!CH36/W$4*100000*W$3</f>
        <v>42830.919844992859</v>
      </c>
      <c r="X35" s="356">
        <f>Data!CI36/X$4*100000*X$3</f>
        <v>58858.151854031785</v>
      </c>
      <c r="Y35" s="356">
        <f>Data!CJ36/Y$4*100000*Y$3</f>
        <v>95691.599644574075</v>
      </c>
      <c r="Z35" s="356">
        <f>Data!CK36/Z$4*100000*Z$3</f>
        <v>172659.28940611929</v>
      </c>
      <c r="AA35" s="356">
        <f>Data!CL36/AA$4*100000*AA$3</f>
        <v>191479.17663954044</v>
      </c>
      <c r="AB35" s="356">
        <f>Data!CM36/AB$4*100000*AB$3</f>
        <v>237983.66274315221</v>
      </c>
      <c r="AC35" s="356">
        <f>Data!CN36/AC$4*100000*AC$3</f>
        <v>158217.25154031609</v>
      </c>
      <c r="AD35" s="356">
        <f>Data!CO36/AD$4*100000*AD$3</f>
        <v>179674.53241841923</v>
      </c>
      <c r="AE35" s="356">
        <f>Data!CP36/AE$4*100000*AE$3</f>
        <v>138060.80811593018</v>
      </c>
      <c r="AF35" s="356">
        <f>Data!CQ36/AF$4*100000*AF$3</f>
        <v>127246.69953873073</v>
      </c>
      <c r="AG35" s="356">
        <f>Data!CR36/AG$4*100000*AG$3</f>
        <v>64123.116383456232</v>
      </c>
      <c r="AH35" s="356">
        <f>Data!CS36/AH$4*100000*AH$3</f>
        <v>34561.92756807465</v>
      </c>
      <c r="AI35" s="356">
        <f>Data!CT36/AI$4*100000*AI$3</f>
        <v>18019.198637093341</v>
      </c>
      <c r="AJ35" s="356">
        <f>Data!CU36/AJ$4*100000*AJ$3</f>
        <v>6085.4395715850542</v>
      </c>
      <c r="AK35" s="358" t="s">
        <v>353</v>
      </c>
      <c r="AL35" s="356">
        <f t="shared" si="3"/>
        <v>1291916.6686926384</v>
      </c>
      <c r="AM35" s="356">
        <f>Data!CD36/AM$4*100000*AM$3</f>
        <v>0</v>
      </c>
      <c r="AN35" s="356">
        <f>Data!CE36/AN$4*100000*AN$3</f>
        <v>0</v>
      </c>
      <c r="AO35" s="356">
        <f>Data!CF36/AO$4*100000*AO$3</f>
        <v>0</v>
      </c>
      <c r="AP35" s="356">
        <f>Data!CG36/AP$4*100000*AP$3</f>
        <v>66813.491376110469</v>
      </c>
      <c r="AQ35" s="356">
        <f>Data!CH36/AQ$4*100000*AQ$3</f>
        <v>48949.622679991837</v>
      </c>
      <c r="AR35" s="356">
        <f>Data!CI36/AR$4*100000*AR$3</f>
        <v>67266.459261750613</v>
      </c>
      <c r="AS35" s="356">
        <f>Data!CJ36/AS$4*100000*AS$3</f>
        <v>82021.371123920631</v>
      </c>
      <c r="AT35" s="356">
        <f>Data!CK36/AT$4*100000*AT$3</f>
        <v>147993.67663381656</v>
      </c>
      <c r="AU35" s="356">
        <f>Data!CL36/AU$4*100000*AU$3</f>
        <v>164125.00854817755</v>
      </c>
      <c r="AV35" s="356">
        <f>Data!CM36/AV$4*100000*AV$3</f>
        <v>203985.99663698761</v>
      </c>
      <c r="AW35" s="356">
        <f>Data!CN36/AW$4*100000*AW$3</f>
        <v>113012.32252879722</v>
      </c>
      <c r="AX35" s="356">
        <f>Data!CO36/AX$4*100000*AX$3</f>
        <v>119783.02161227948</v>
      </c>
      <c r="AY35" s="356">
        <f>Data!CP36/AY$4*100000*AY$3</f>
        <v>110448.64649274414</v>
      </c>
      <c r="AZ35" s="356">
        <f>Data!CQ36/AZ$4*100000*AZ$3</f>
        <v>95435.024654048044</v>
      </c>
      <c r="BA35" s="356">
        <f>Data!CR36/BA$4*100000*BA$3</f>
        <v>42748.744255637488</v>
      </c>
      <c r="BB35" s="356">
        <f>Data!CS36/BB$4*100000*BB$3</f>
        <v>17280.963784037325</v>
      </c>
      <c r="BC35" s="356">
        <f>Data!CT36/BC$4*100000*BC$3</f>
        <v>9009.5993185466705</v>
      </c>
      <c r="BD35" s="356">
        <f>Data!CU36/BD$4*100000*BD$3</f>
        <v>3042.7197857925271</v>
      </c>
    </row>
    <row r="36" spans="1:56" ht="12" customHeight="1">
      <c r="A36" s="67"/>
      <c r="B36" s="150" t="str">
        <f>UPPER(LEFT(TRIM(Data!B37),1)) &amp; MID(TRIM(Data!B37),2,50)</f>
        <v>Kitų endokrininių liaukų</v>
      </c>
      <c r="C36" s="129" t="str">
        <f>UPPER(LEFT(TRIM(Data!C37),1)) &amp; MID(TRIM(Data!C37),2,50)</f>
        <v>C74-C75</v>
      </c>
      <c r="D36" s="130">
        <f>Data!BQ37</f>
        <v>7</v>
      </c>
      <c r="E36" s="131">
        <f t="shared" si="4"/>
        <v>0.44671973697141887</v>
      </c>
      <c r="F36" s="132">
        <f t="shared" si="5"/>
        <v>0.35105885133325027</v>
      </c>
      <c r="G36" s="132">
        <f t="shared" si="6"/>
        <v>0.28425455418686657</v>
      </c>
      <c r="H36" s="72"/>
      <c r="I36" s="72"/>
      <c r="J36" s="72"/>
      <c r="K36" s="72"/>
      <c r="L36" s="72"/>
      <c r="M36" s="72"/>
      <c r="N36" s="72"/>
      <c r="O36" s="72"/>
      <c r="P36" s="269"/>
      <c r="Q36" s="358" t="s">
        <v>353</v>
      </c>
      <c r="R36" s="356">
        <f t="shared" si="2"/>
        <v>35105.885133325028</v>
      </c>
      <c r="S36" s="356">
        <f>Data!CD37/S$4*100000*S$3</f>
        <v>0</v>
      </c>
      <c r="T36" s="356">
        <f>Data!CE37/T$4*100000*T$3</f>
        <v>0</v>
      </c>
      <c r="U36" s="356">
        <f>Data!CF37/U$4*100000*U$3</f>
        <v>0</v>
      </c>
      <c r="V36" s="356">
        <f>Data!CG37/V$4*100000*V$3</f>
        <v>0</v>
      </c>
      <c r="W36" s="356">
        <f>Data!CH37/W$4*100000*W$3</f>
        <v>7138.4866408321441</v>
      </c>
      <c r="X36" s="356">
        <f>Data!CI37/X$4*100000*X$3</f>
        <v>0</v>
      </c>
      <c r="Y36" s="356">
        <f>Data!CJ37/Y$4*100000*Y$3</f>
        <v>0</v>
      </c>
      <c r="Z36" s="356">
        <f>Data!CK37/Z$4*100000*Z$3</f>
        <v>0</v>
      </c>
      <c r="AA36" s="356">
        <f>Data!CL37/AA$4*100000*AA$3</f>
        <v>6838.5420228407311</v>
      </c>
      <c r="AB36" s="356">
        <f>Data!CM37/AB$4*100000*AB$3</f>
        <v>0</v>
      </c>
      <c r="AC36" s="356">
        <f>Data!CN37/AC$4*100000*AC$3</f>
        <v>5859.8982051968933</v>
      </c>
      <c r="AD36" s="356">
        <f>Data!CO37/AD$4*100000*AD$3</f>
        <v>5133.5580690976913</v>
      </c>
      <c r="AE36" s="356">
        <f>Data!CP37/AE$4*100000*AE$3</f>
        <v>0</v>
      </c>
      <c r="AF36" s="356">
        <f>Data!CQ37/AF$4*100000*AF$3</f>
        <v>4544.5249835260975</v>
      </c>
      <c r="AG36" s="356">
        <f>Data!CR37/AG$4*100000*AG$3</f>
        <v>3562.3953546364573</v>
      </c>
      <c r="AH36" s="356">
        <f>Data!CS37/AH$4*100000*AH$3</f>
        <v>0</v>
      </c>
      <c r="AI36" s="356">
        <f>Data!CT37/AI$4*100000*AI$3</f>
        <v>0</v>
      </c>
      <c r="AJ36" s="356">
        <f>Data!CU37/AJ$4*100000*AJ$3</f>
        <v>2028.479857195018</v>
      </c>
      <c r="AK36" s="358" t="s">
        <v>353</v>
      </c>
      <c r="AL36" s="356">
        <f t="shared" si="3"/>
        <v>28425.455418686655</v>
      </c>
      <c r="AM36" s="356">
        <f>Data!CD37/AM$4*100000*AM$3</f>
        <v>0</v>
      </c>
      <c r="AN36" s="356">
        <f>Data!CE37/AN$4*100000*AN$3</f>
        <v>0</v>
      </c>
      <c r="AO36" s="356">
        <f>Data!CF37/AO$4*100000*AO$3</f>
        <v>0</v>
      </c>
      <c r="AP36" s="356">
        <f>Data!CG37/AP$4*100000*AP$3</f>
        <v>0</v>
      </c>
      <c r="AQ36" s="356">
        <f>Data!CH37/AQ$4*100000*AQ$3</f>
        <v>8158.2704466653076</v>
      </c>
      <c r="AR36" s="356">
        <f>Data!CI37/AR$4*100000*AR$3</f>
        <v>0</v>
      </c>
      <c r="AS36" s="356">
        <f>Data!CJ37/AS$4*100000*AS$3</f>
        <v>0</v>
      </c>
      <c r="AT36" s="356">
        <f>Data!CK37/AT$4*100000*AT$3</f>
        <v>0</v>
      </c>
      <c r="AU36" s="356">
        <f>Data!CL37/AU$4*100000*AU$3</f>
        <v>5861.6074481491978</v>
      </c>
      <c r="AV36" s="356">
        <f>Data!CM37/AV$4*100000*AV$3</f>
        <v>0</v>
      </c>
      <c r="AW36" s="356">
        <f>Data!CN37/AW$4*100000*AW$3</f>
        <v>4185.6415751406375</v>
      </c>
      <c r="AX36" s="356">
        <f>Data!CO37/AX$4*100000*AX$3</f>
        <v>3422.3720460651275</v>
      </c>
      <c r="AY36" s="356">
        <f>Data!CP37/AY$4*100000*AY$3</f>
        <v>0</v>
      </c>
      <c r="AZ36" s="356">
        <f>Data!CQ37/AZ$4*100000*AZ$3</f>
        <v>3408.3937376445729</v>
      </c>
      <c r="BA36" s="356">
        <f>Data!CR37/BA$4*100000*BA$3</f>
        <v>2374.9302364243049</v>
      </c>
      <c r="BB36" s="356">
        <f>Data!CS37/BB$4*100000*BB$3</f>
        <v>0</v>
      </c>
      <c r="BC36" s="356">
        <f>Data!CT37/BC$4*100000*BC$3</f>
        <v>0</v>
      </c>
      <c r="BD36" s="356">
        <f>Data!CU37/BD$4*100000*BD$3</f>
        <v>1014.239928597509</v>
      </c>
    </row>
    <row r="37" spans="1:56" ht="12" customHeight="1">
      <c r="A37" s="67"/>
      <c r="B37" s="293" t="str">
        <f>UPPER(LEFT(TRIM(Data!B38),1)) &amp; MID(TRIM(Data!B38),2,50)</f>
        <v>Nepatikslintos lokalizacijos</v>
      </c>
      <c r="C37" s="294" t="str">
        <f>UPPER(LEFT(TRIM(Data!C38),1)) &amp; MID(TRIM(Data!C38),2,50)</f>
        <v>C76-C80</v>
      </c>
      <c r="D37" s="295">
        <f>Data!BQ38</f>
        <v>205</v>
      </c>
      <c r="E37" s="296">
        <f t="shared" si="4"/>
        <v>13.082506582734409</v>
      </c>
      <c r="F37" s="297">
        <f t="shared" si="5"/>
        <v>6.5235348589912334</v>
      </c>
      <c r="G37" s="297">
        <f t="shared" si="6"/>
        <v>4.280890485014397</v>
      </c>
      <c r="H37" s="72"/>
      <c r="I37" s="72"/>
      <c r="J37" s="72"/>
      <c r="K37" s="72"/>
      <c r="L37" s="72"/>
      <c r="M37" s="72"/>
      <c r="N37" s="72"/>
      <c r="O37" s="72"/>
      <c r="P37" s="269"/>
      <c r="Q37" s="358" t="s">
        <v>353</v>
      </c>
      <c r="R37" s="356">
        <f t="shared" si="2"/>
        <v>652353.48589912336</v>
      </c>
      <c r="S37" s="356">
        <f>Data!CD38/S$4*100000*S$3</f>
        <v>0</v>
      </c>
      <c r="T37" s="356">
        <f>Data!CE38/T$4*100000*T$3</f>
        <v>0</v>
      </c>
      <c r="U37" s="356">
        <f>Data!CF38/U$4*100000*U$3</f>
        <v>0</v>
      </c>
      <c r="V37" s="356">
        <f>Data!CG38/V$4*100000*V$3</f>
        <v>0</v>
      </c>
      <c r="W37" s="356">
        <f>Data!CH38/W$4*100000*W$3</f>
        <v>0</v>
      </c>
      <c r="X37" s="356">
        <f>Data!CI38/X$4*100000*X$3</f>
        <v>7357.2689817539731</v>
      </c>
      <c r="Y37" s="356">
        <f>Data!CJ38/Y$4*100000*Y$3</f>
        <v>7974.299970381172</v>
      </c>
      <c r="Z37" s="356">
        <f>Data!CK38/Z$4*100000*Z$3</f>
        <v>0</v>
      </c>
      <c r="AA37" s="356">
        <f>Data!CL38/AA$4*100000*AA$3</f>
        <v>20515.62606852219</v>
      </c>
      <c r="AB37" s="356">
        <f>Data!CM38/AB$4*100000*AB$3</f>
        <v>32159.9544247503</v>
      </c>
      <c r="AC37" s="356">
        <f>Data!CN38/AC$4*100000*AC$3</f>
        <v>46879.185641575146</v>
      </c>
      <c r="AD37" s="356">
        <f>Data!CO38/AD$4*100000*AD$3</f>
        <v>51335.580690976916</v>
      </c>
      <c r="AE37" s="356">
        <f>Data!CP38/AE$4*100000*AE$3</f>
        <v>81813.812216847509</v>
      </c>
      <c r="AF37" s="356">
        <f>Data!CQ38/AF$4*100000*AF$3</f>
        <v>77256.924719943636</v>
      </c>
      <c r="AG37" s="356">
        <f>Data!CR38/AG$4*100000*AG$3</f>
        <v>78372.697802002062</v>
      </c>
      <c r="AH37" s="356">
        <f>Data!CS38/AH$4*100000*AH$3</f>
        <v>98748.364480213306</v>
      </c>
      <c r="AI37" s="356">
        <f>Data!CT38/AI$4*100000*AI$3</f>
        <v>68800.576614356381</v>
      </c>
      <c r="AJ37" s="356">
        <f>Data!CU38/AJ$4*100000*AJ$3</f>
        <v>81139.194287800725</v>
      </c>
      <c r="AK37" s="358" t="s">
        <v>353</v>
      </c>
      <c r="AL37" s="356">
        <f t="shared" si="3"/>
        <v>428089.04850143968</v>
      </c>
      <c r="AM37" s="356">
        <f>Data!CD38/AM$4*100000*AM$3</f>
        <v>0</v>
      </c>
      <c r="AN37" s="356">
        <f>Data!CE38/AN$4*100000*AN$3</f>
        <v>0</v>
      </c>
      <c r="AO37" s="356">
        <f>Data!CF38/AO$4*100000*AO$3</f>
        <v>0</v>
      </c>
      <c r="AP37" s="356">
        <f>Data!CG38/AP$4*100000*AP$3</f>
        <v>0</v>
      </c>
      <c r="AQ37" s="356">
        <f>Data!CH38/AQ$4*100000*AQ$3</f>
        <v>0</v>
      </c>
      <c r="AR37" s="356">
        <f>Data!CI38/AR$4*100000*AR$3</f>
        <v>8408.3074077188267</v>
      </c>
      <c r="AS37" s="356">
        <f>Data!CJ38/AS$4*100000*AS$3</f>
        <v>6835.114260326719</v>
      </c>
      <c r="AT37" s="356">
        <f>Data!CK38/AT$4*100000*AT$3</f>
        <v>0</v>
      </c>
      <c r="AU37" s="356">
        <f>Data!CL38/AU$4*100000*AU$3</f>
        <v>17584.822344447592</v>
      </c>
      <c r="AV37" s="356">
        <f>Data!CM38/AV$4*100000*AV$3</f>
        <v>27565.675221214544</v>
      </c>
      <c r="AW37" s="356">
        <f>Data!CN38/AW$4*100000*AW$3</f>
        <v>33485.1326011251</v>
      </c>
      <c r="AX37" s="356">
        <f>Data!CO38/AX$4*100000*AX$3</f>
        <v>34223.720460651282</v>
      </c>
      <c r="AY37" s="356">
        <f>Data!CP38/AY$4*100000*AY$3</f>
        <v>65451.049773478007</v>
      </c>
      <c r="AZ37" s="356">
        <f>Data!CQ38/AZ$4*100000*AZ$3</f>
        <v>57942.693539957727</v>
      </c>
      <c r="BA37" s="356">
        <f>Data!CR38/BA$4*100000*BA$3</f>
        <v>52248.465201334708</v>
      </c>
      <c r="BB37" s="356">
        <f>Data!CS38/BB$4*100000*BB$3</f>
        <v>49374.182240106653</v>
      </c>
      <c r="BC37" s="356">
        <f>Data!CT38/BC$4*100000*BC$3</f>
        <v>34400.288307178191</v>
      </c>
      <c r="BD37" s="356">
        <f>Data!CU38/BD$4*100000*BD$3</f>
        <v>40569.597143900362</v>
      </c>
    </row>
    <row r="38" spans="1:56" ht="12" customHeight="1">
      <c r="A38" s="67"/>
      <c r="B38" s="150" t="str">
        <f>UPPER(LEFT(TRIM(Data!B39),1)) &amp; MID(TRIM(Data!B39),2,50)</f>
        <v>Hodžkino limfomos</v>
      </c>
      <c r="C38" s="129" t="str">
        <f>UPPER(LEFT(TRIM(Data!C39),1)) &amp; MID(TRIM(Data!C39),2,50)</f>
        <v>C81</v>
      </c>
      <c r="D38" s="130">
        <f>Data!BQ39</f>
        <v>30</v>
      </c>
      <c r="E38" s="131">
        <f t="shared" si="4"/>
        <v>1.9145131584489381</v>
      </c>
      <c r="F38" s="132">
        <f t="shared" si="5"/>
        <v>2.228795152141744</v>
      </c>
      <c r="G38" s="132">
        <f t="shared" si="6"/>
        <v>2.35387877974332</v>
      </c>
      <c r="H38" s="72"/>
      <c r="I38" s="72"/>
      <c r="J38" s="72"/>
      <c r="K38" s="72"/>
      <c r="L38" s="72"/>
      <c r="M38" s="72"/>
      <c r="N38" s="72"/>
      <c r="O38" s="72"/>
      <c r="P38" s="269"/>
      <c r="Q38" s="358" t="s">
        <v>353</v>
      </c>
      <c r="R38" s="356">
        <f t="shared" si="2"/>
        <v>222879.51521417437</v>
      </c>
      <c r="S38" s="356">
        <f>Data!CD39/S$4*100000*S$3</f>
        <v>0</v>
      </c>
      <c r="T38" s="356">
        <f>Data!CE39/T$4*100000*T$3</f>
        <v>10277.190509748651</v>
      </c>
      <c r="U38" s="356">
        <f>Data!CF39/U$4*100000*U$3</f>
        <v>32113.037893384713</v>
      </c>
      <c r="V38" s="356">
        <f>Data!CG39/V$4*100000*V$3</f>
        <v>43305.040706738269</v>
      </c>
      <c r="W38" s="356">
        <f>Data!CH39/W$4*100000*W$3</f>
        <v>7138.4866408321441</v>
      </c>
      <c r="X38" s="356">
        <f>Data!CI39/X$4*100000*X$3</f>
        <v>29429.075927015892</v>
      </c>
      <c r="Y38" s="356">
        <f>Data!CJ39/Y$4*100000*Y$3</f>
        <v>23922.899911143519</v>
      </c>
      <c r="Z38" s="356">
        <f>Data!CK39/Z$4*100000*Z$3</f>
        <v>23544.448555379902</v>
      </c>
      <c r="AA38" s="356">
        <f>Data!CL39/AA$4*100000*AA$3</f>
        <v>20515.62606852219</v>
      </c>
      <c r="AB38" s="356">
        <f>Data!CM39/AB$4*100000*AB$3</f>
        <v>0</v>
      </c>
      <c r="AC38" s="356">
        <f>Data!CN39/AC$4*100000*AC$3</f>
        <v>11719.796410393787</v>
      </c>
      <c r="AD38" s="356">
        <f>Data!CO39/AD$4*100000*AD$3</f>
        <v>0</v>
      </c>
      <c r="AE38" s="356">
        <f>Data!CP39/AE$4*100000*AE$3</f>
        <v>10226.726527105939</v>
      </c>
      <c r="AF38" s="356">
        <f>Data!CQ39/AF$4*100000*AF$3</f>
        <v>0</v>
      </c>
      <c r="AG38" s="356">
        <f>Data!CR39/AG$4*100000*AG$3</f>
        <v>10687.186063909372</v>
      </c>
      <c r="AH38" s="356">
        <f>Data!CS39/AH$4*100000*AH$3</f>
        <v>0</v>
      </c>
      <c r="AI38" s="356">
        <f>Data!CT39/AI$4*100000*AI$3</f>
        <v>0</v>
      </c>
      <c r="AJ38" s="356">
        <f>Data!CU39/AJ$4*100000*AJ$3</f>
        <v>0</v>
      </c>
      <c r="AK38" s="358" t="s">
        <v>353</v>
      </c>
      <c r="AL38" s="356">
        <f t="shared" si="3"/>
        <v>235387.87797433202</v>
      </c>
      <c r="AM38" s="356">
        <f>Data!CD39/AM$4*100000*AM$3</f>
        <v>0</v>
      </c>
      <c r="AN38" s="356">
        <f>Data!CE39/AN$4*100000*AN$3</f>
        <v>14681.700728212358</v>
      </c>
      <c r="AO38" s="356">
        <f>Data!CF39/AO$4*100000*AO$3</f>
        <v>41288.19157720892</v>
      </c>
      <c r="AP38" s="356">
        <f>Data!CG39/AP$4*100000*AP$3</f>
        <v>55677.909480092057</v>
      </c>
      <c r="AQ38" s="356">
        <f>Data!CH39/AQ$4*100000*AQ$3</f>
        <v>8158.2704466653076</v>
      </c>
      <c r="AR38" s="356">
        <f>Data!CI39/AR$4*100000*AR$3</f>
        <v>33633.229630875307</v>
      </c>
      <c r="AS38" s="356">
        <f>Data!CJ39/AS$4*100000*AS$3</f>
        <v>20505.342780980158</v>
      </c>
      <c r="AT38" s="356">
        <f>Data!CK39/AT$4*100000*AT$3</f>
        <v>20180.955904611346</v>
      </c>
      <c r="AU38" s="356">
        <f>Data!CL39/AU$4*100000*AU$3</f>
        <v>17584.822344447592</v>
      </c>
      <c r="AV38" s="356">
        <f>Data!CM39/AV$4*100000*AV$3</f>
        <v>0</v>
      </c>
      <c r="AW38" s="356">
        <f>Data!CN39/AW$4*100000*AW$3</f>
        <v>8371.2831502812751</v>
      </c>
      <c r="AX38" s="356">
        <f>Data!CO39/AX$4*100000*AX$3</f>
        <v>0</v>
      </c>
      <c r="AY38" s="356">
        <f>Data!CP39/AY$4*100000*AY$3</f>
        <v>8181.3812216847509</v>
      </c>
      <c r="AZ38" s="356">
        <f>Data!CQ39/AZ$4*100000*AZ$3</f>
        <v>0</v>
      </c>
      <c r="BA38" s="356">
        <f>Data!CR39/BA$4*100000*BA$3</f>
        <v>7124.7907092729147</v>
      </c>
      <c r="BB38" s="356">
        <f>Data!CS39/BB$4*100000*BB$3</f>
        <v>0</v>
      </c>
      <c r="BC38" s="356">
        <f>Data!CT39/BC$4*100000*BC$3</f>
        <v>0</v>
      </c>
      <c r="BD38" s="356">
        <f>Data!CU39/BD$4*100000*BD$3</f>
        <v>0</v>
      </c>
    </row>
    <row r="39" spans="1:56" ht="12" customHeight="1">
      <c r="A39" s="67"/>
      <c r="B39" s="293" t="str">
        <f>UPPER(LEFT(TRIM(Data!B40),1)) &amp; MID(TRIM(Data!B40),2,50)</f>
        <v>Ne Hodžkino limfomos</v>
      </c>
      <c r="C39" s="294" t="str">
        <f>UPPER(LEFT(TRIM(Data!C40),1)) &amp; MID(TRIM(Data!C40),2,50)</f>
        <v>C82-C85</v>
      </c>
      <c r="D39" s="295">
        <f>Data!BQ40</f>
        <v>205</v>
      </c>
      <c r="E39" s="296">
        <f t="shared" si="4"/>
        <v>13.082506582734409</v>
      </c>
      <c r="F39" s="297">
        <f t="shared" si="5"/>
        <v>8.4801823645655841</v>
      </c>
      <c r="G39" s="297">
        <f t="shared" si="6"/>
        <v>6.3780375509625102</v>
      </c>
      <c r="H39" s="72"/>
      <c r="I39" s="72"/>
      <c r="J39" s="72"/>
      <c r="K39" s="72"/>
      <c r="L39" s="72"/>
      <c r="M39" s="72"/>
      <c r="N39" s="72"/>
      <c r="O39" s="72"/>
      <c r="P39" s="269"/>
      <c r="Q39" s="358" t="s">
        <v>353</v>
      </c>
      <c r="R39" s="356">
        <f t="shared" si="2"/>
        <v>848018.23645655834</v>
      </c>
      <c r="S39" s="356">
        <f>Data!CD40/S$4*100000*S$3</f>
        <v>10873.554157095674</v>
      </c>
      <c r="T39" s="356">
        <f>Data!CE40/T$4*100000*T$3</f>
        <v>0</v>
      </c>
      <c r="U39" s="356">
        <f>Data!CF40/U$4*100000*U$3</f>
        <v>0</v>
      </c>
      <c r="V39" s="356">
        <f>Data!CG40/V$4*100000*V$3</f>
        <v>8661.0081413476546</v>
      </c>
      <c r="W39" s="356">
        <f>Data!CH40/W$4*100000*W$3</f>
        <v>14276.973281664288</v>
      </c>
      <c r="X39" s="356">
        <f>Data!CI40/X$4*100000*X$3</f>
        <v>36786.344908769861</v>
      </c>
      <c r="Y39" s="356">
        <f>Data!CJ40/Y$4*100000*Y$3</f>
        <v>23922.899911143519</v>
      </c>
      <c r="Z39" s="356">
        <f>Data!CK40/Z$4*100000*Z$3</f>
        <v>54937.046629219782</v>
      </c>
      <c r="AA39" s="356">
        <f>Data!CL40/AA$4*100000*AA$3</f>
        <v>27354.168091362924</v>
      </c>
      <c r="AB39" s="356">
        <f>Data!CM40/AB$4*100000*AB$3</f>
        <v>57887.917964550536</v>
      </c>
      <c r="AC39" s="356">
        <f>Data!CN40/AC$4*100000*AC$3</f>
        <v>82038.574872756493</v>
      </c>
      <c r="AD39" s="356">
        <f>Data!CO40/AD$4*100000*AD$3</f>
        <v>71869.812967367689</v>
      </c>
      <c r="AE39" s="356">
        <f>Data!CP40/AE$4*100000*AE$3</f>
        <v>107380.62853461235</v>
      </c>
      <c r="AF39" s="356">
        <f>Data!CQ40/AF$4*100000*AF$3</f>
        <v>90890.499670521953</v>
      </c>
      <c r="AG39" s="356">
        <f>Data!CR40/AG$4*100000*AG$3</f>
        <v>121121.44205763955</v>
      </c>
      <c r="AH39" s="356">
        <f>Data!CS40/AH$4*100000*AH$3</f>
        <v>56780.30957612265</v>
      </c>
      <c r="AI39" s="356">
        <f>Data!CT40/AI$4*100000*AI$3</f>
        <v>50781.377977263044</v>
      </c>
      <c r="AJ39" s="356">
        <f>Data!CU40/AJ$4*100000*AJ$3</f>
        <v>32455.677715120288</v>
      </c>
      <c r="AK39" s="358" t="s">
        <v>353</v>
      </c>
      <c r="AL39" s="356">
        <f t="shared" si="3"/>
        <v>637803.75509625103</v>
      </c>
      <c r="AM39" s="356">
        <f>Data!CD40/AM$4*100000*AM$3</f>
        <v>16310.331235643511</v>
      </c>
      <c r="AN39" s="356">
        <f>Data!CE40/AN$4*100000*AN$3</f>
        <v>0</v>
      </c>
      <c r="AO39" s="356">
        <f>Data!CF40/AO$4*100000*AO$3</f>
        <v>0</v>
      </c>
      <c r="AP39" s="356">
        <f>Data!CG40/AP$4*100000*AP$3</f>
        <v>11135.581896018411</v>
      </c>
      <c r="AQ39" s="356">
        <f>Data!CH40/AQ$4*100000*AQ$3</f>
        <v>16316.540893330615</v>
      </c>
      <c r="AR39" s="356">
        <f>Data!CI40/AR$4*100000*AR$3</f>
        <v>42041.537038594128</v>
      </c>
      <c r="AS39" s="356">
        <f>Data!CJ40/AS$4*100000*AS$3</f>
        <v>20505.342780980158</v>
      </c>
      <c r="AT39" s="356">
        <f>Data!CK40/AT$4*100000*AT$3</f>
        <v>47088.897110759812</v>
      </c>
      <c r="AU39" s="356">
        <f>Data!CL40/AU$4*100000*AU$3</f>
        <v>23446.429792596791</v>
      </c>
      <c r="AV39" s="356">
        <f>Data!CM40/AV$4*100000*AV$3</f>
        <v>49618.21539818617</v>
      </c>
      <c r="AW39" s="356">
        <f>Data!CN40/AW$4*100000*AW$3</f>
        <v>58598.982051968924</v>
      </c>
      <c r="AX39" s="356">
        <f>Data!CO40/AX$4*100000*AX$3</f>
        <v>47913.208644911792</v>
      </c>
      <c r="AY39" s="356">
        <f>Data!CP40/AY$4*100000*AY$3</f>
        <v>85904.502827689881</v>
      </c>
      <c r="AZ39" s="356">
        <f>Data!CQ40/AZ$4*100000*AZ$3</f>
        <v>68167.874752891454</v>
      </c>
      <c r="BA39" s="356">
        <f>Data!CR40/BA$4*100000*BA$3</f>
        <v>80747.628038426366</v>
      </c>
      <c r="BB39" s="356">
        <f>Data!CS40/BB$4*100000*BB$3</f>
        <v>28390.154788061325</v>
      </c>
      <c r="BC39" s="356">
        <f>Data!CT40/BC$4*100000*BC$3</f>
        <v>25390.688988631522</v>
      </c>
      <c r="BD39" s="356">
        <f>Data!CU40/BD$4*100000*BD$3</f>
        <v>16227.838857560144</v>
      </c>
    </row>
    <row r="40" spans="1:56" ht="12" customHeight="1">
      <c r="A40" s="67"/>
      <c r="B40" s="150" t="str">
        <f>UPPER(LEFT(TRIM(Data!B41),1)) &amp; MID(TRIM(Data!B41),2,50)</f>
        <v>Mielominės ligos</v>
      </c>
      <c r="C40" s="129" t="str">
        <f>UPPER(LEFT(TRIM(Data!C41),1)) &amp; MID(TRIM(Data!C41),2,50)</f>
        <v>C90</v>
      </c>
      <c r="D40" s="130">
        <f>Data!BQ41</f>
        <v>88</v>
      </c>
      <c r="E40" s="131">
        <f t="shared" si="4"/>
        <v>5.6159052647835512</v>
      </c>
      <c r="F40" s="132">
        <f t="shared" si="5"/>
        <v>3.250021843457775</v>
      </c>
      <c r="G40" s="132">
        <f t="shared" si="6"/>
        <v>2.2143244192460005</v>
      </c>
      <c r="H40" s="72"/>
      <c r="I40" s="72"/>
      <c r="J40" s="72"/>
      <c r="K40" s="72"/>
      <c r="L40" s="72"/>
      <c r="M40" s="72"/>
      <c r="N40" s="72"/>
      <c r="O40" s="72"/>
      <c r="P40" s="269"/>
      <c r="Q40" s="358" t="s">
        <v>353</v>
      </c>
      <c r="R40" s="356">
        <f t="shared" si="2"/>
        <v>325002.1843457775</v>
      </c>
      <c r="S40" s="356">
        <f>Data!CD41/S$4*100000*S$3</f>
        <v>0</v>
      </c>
      <c r="T40" s="356">
        <f>Data!CE41/T$4*100000*T$3</f>
        <v>0</v>
      </c>
      <c r="U40" s="356">
        <f>Data!CF41/U$4*100000*U$3</f>
        <v>0</v>
      </c>
      <c r="V40" s="356">
        <f>Data!CG41/V$4*100000*V$3</f>
        <v>0</v>
      </c>
      <c r="W40" s="356">
        <f>Data!CH41/W$4*100000*W$3</f>
        <v>0</v>
      </c>
      <c r="X40" s="356">
        <f>Data!CI41/X$4*100000*X$3</f>
        <v>0</v>
      </c>
      <c r="Y40" s="356">
        <f>Data!CJ41/Y$4*100000*Y$3</f>
        <v>0</v>
      </c>
      <c r="Z40" s="356">
        <f>Data!CK41/Z$4*100000*Z$3</f>
        <v>7848.149518459968</v>
      </c>
      <c r="AA40" s="356">
        <f>Data!CL41/AA$4*100000*AA$3</f>
        <v>13677.084045681462</v>
      </c>
      <c r="AB40" s="356">
        <f>Data!CM41/AB$4*100000*AB$3</f>
        <v>0</v>
      </c>
      <c r="AC40" s="356">
        <f>Data!CN41/AC$4*100000*AC$3</f>
        <v>35159.389231181354</v>
      </c>
      <c r="AD40" s="356">
        <f>Data!CO41/AD$4*100000*AD$3</f>
        <v>30801.348414586148</v>
      </c>
      <c r="AE40" s="356">
        <f>Data!CP41/AE$4*100000*AE$3</f>
        <v>51133.632635529691</v>
      </c>
      <c r="AF40" s="356">
        <f>Data!CQ41/AF$4*100000*AF$3</f>
        <v>45445.249835260976</v>
      </c>
      <c r="AG40" s="356">
        <f>Data!CR41/AG$4*100000*AG$3</f>
        <v>71247.907092729147</v>
      </c>
      <c r="AH40" s="356">
        <f>Data!CS41/AH$4*100000*AH$3</f>
        <v>39499.345792085325</v>
      </c>
      <c r="AI40" s="356">
        <f>Data!CT41/AI$4*100000*AI$3</f>
        <v>18019.198637093341</v>
      </c>
      <c r="AJ40" s="356">
        <f>Data!CU41/AJ$4*100000*AJ$3</f>
        <v>12170.879143170108</v>
      </c>
      <c r="AK40" s="358" t="s">
        <v>353</v>
      </c>
      <c r="AL40" s="356">
        <f t="shared" si="3"/>
        <v>221432.44192460005</v>
      </c>
      <c r="AM40" s="356">
        <f>Data!CD41/AM$4*100000*AM$3</f>
        <v>0</v>
      </c>
      <c r="AN40" s="356">
        <f>Data!CE41/AN$4*100000*AN$3</f>
        <v>0</v>
      </c>
      <c r="AO40" s="356">
        <f>Data!CF41/AO$4*100000*AO$3</f>
        <v>0</v>
      </c>
      <c r="AP40" s="356">
        <f>Data!CG41/AP$4*100000*AP$3</f>
        <v>0</v>
      </c>
      <c r="AQ40" s="356">
        <f>Data!CH41/AQ$4*100000*AQ$3</f>
        <v>0</v>
      </c>
      <c r="AR40" s="356">
        <f>Data!CI41/AR$4*100000*AR$3</f>
        <v>0</v>
      </c>
      <c r="AS40" s="356">
        <f>Data!CJ41/AS$4*100000*AS$3</f>
        <v>0</v>
      </c>
      <c r="AT40" s="356">
        <f>Data!CK41/AT$4*100000*AT$3</f>
        <v>6726.9853015371154</v>
      </c>
      <c r="AU40" s="356">
        <f>Data!CL41/AU$4*100000*AU$3</f>
        <v>11723.214896298396</v>
      </c>
      <c r="AV40" s="356">
        <f>Data!CM41/AV$4*100000*AV$3</f>
        <v>0</v>
      </c>
      <c r="AW40" s="356">
        <f>Data!CN41/AW$4*100000*AW$3</f>
        <v>25113.849450843823</v>
      </c>
      <c r="AX40" s="356">
        <f>Data!CO41/AX$4*100000*AX$3</f>
        <v>20534.232276390765</v>
      </c>
      <c r="AY40" s="356">
        <f>Data!CP41/AY$4*100000*AY$3</f>
        <v>40906.906108423755</v>
      </c>
      <c r="AZ40" s="356">
        <f>Data!CQ41/AZ$4*100000*AZ$3</f>
        <v>34083.937376445727</v>
      </c>
      <c r="BA40" s="356">
        <f>Data!CR41/BA$4*100000*BA$3</f>
        <v>47498.604728486098</v>
      </c>
      <c r="BB40" s="356">
        <f>Data!CS41/BB$4*100000*BB$3</f>
        <v>19749.672896042663</v>
      </c>
      <c r="BC40" s="356">
        <f>Data!CT41/BC$4*100000*BC$3</f>
        <v>9009.5993185466705</v>
      </c>
      <c r="BD40" s="356">
        <f>Data!CU41/BD$4*100000*BD$3</f>
        <v>6085.4395715850542</v>
      </c>
    </row>
    <row r="41" spans="1:56" ht="12" customHeight="1">
      <c r="A41" s="67"/>
      <c r="B41" s="293" t="str">
        <f>UPPER(LEFT(TRIM(Data!B42),1)) &amp; MID(TRIM(Data!B42),2,50)</f>
        <v>Leukemijos</v>
      </c>
      <c r="C41" s="294" t="str">
        <f>UPPER(LEFT(TRIM(Data!C42),1)) &amp; MID(TRIM(Data!C42),2,50)</f>
        <v>C91-C95</v>
      </c>
      <c r="D41" s="295">
        <f>Data!BQ42</f>
        <v>197</v>
      </c>
      <c r="E41" s="296">
        <f t="shared" si="4"/>
        <v>12.571969740481361</v>
      </c>
      <c r="F41" s="297">
        <f t="shared" si="5"/>
        <v>7.9761700413392749</v>
      </c>
      <c r="G41" s="297">
        <f t="shared" si="6"/>
        <v>6.1494866934910677</v>
      </c>
      <c r="H41" s="72"/>
      <c r="I41" s="72"/>
      <c r="J41" s="72"/>
      <c r="K41" s="72"/>
      <c r="L41" s="72"/>
      <c r="M41" s="72"/>
      <c r="N41" s="72"/>
      <c r="O41" s="72"/>
      <c r="P41" s="269"/>
      <c r="Q41" s="358" t="s">
        <v>353</v>
      </c>
      <c r="R41" s="356">
        <f t="shared" si="2"/>
        <v>797617.00413392752</v>
      </c>
      <c r="S41" s="356">
        <f>Data!CD42/S$4*100000*S$3</f>
        <v>32620.662471287018</v>
      </c>
      <c r="T41" s="356">
        <f>Data!CE42/T$4*100000*T$3</f>
        <v>20554.381019497301</v>
      </c>
      <c r="U41" s="356">
        <f>Data!CF42/U$4*100000*U$3</f>
        <v>21408.691928923145</v>
      </c>
      <c r="V41" s="356">
        <f>Data!CG42/V$4*100000*V$3</f>
        <v>0</v>
      </c>
      <c r="W41" s="356">
        <f>Data!CH42/W$4*100000*W$3</f>
        <v>0</v>
      </c>
      <c r="X41" s="356">
        <f>Data!CI42/X$4*100000*X$3</f>
        <v>29429.075927015892</v>
      </c>
      <c r="Y41" s="356">
        <f>Data!CJ42/Y$4*100000*Y$3</f>
        <v>15948.599940762344</v>
      </c>
      <c r="Z41" s="356">
        <f>Data!CK42/Z$4*100000*Z$3</f>
        <v>7848.149518459968</v>
      </c>
      <c r="AA41" s="356">
        <f>Data!CL42/AA$4*100000*AA$3</f>
        <v>41031.252137044379</v>
      </c>
      <c r="AB41" s="356">
        <f>Data!CM42/AB$4*100000*AB$3</f>
        <v>19295.972654850182</v>
      </c>
      <c r="AC41" s="356">
        <f>Data!CN42/AC$4*100000*AC$3</f>
        <v>64458.880257165809</v>
      </c>
      <c r="AD41" s="356">
        <f>Data!CO42/AD$4*100000*AD$3</f>
        <v>97537.603312856139</v>
      </c>
      <c r="AE41" s="356">
        <f>Data!CP42/AE$4*100000*AE$3</f>
        <v>76700.448953294544</v>
      </c>
      <c r="AF41" s="356">
        <f>Data!CQ42/AF$4*100000*AF$3</f>
        <v>118157.64957167853</v>
      </c>
      <c r="AG41" s="356">
        <f>Data!CR42/AG$4*100000*AG$3</f>
        <v>96184.674575184355</v>
      </c>
      <c r="AH41" s="356">
        <f>Data!CS42/AH$4*100000*AH$3</f>
        <v>74061.273360159976</v>
      </c>
      <c r="AI41" s="356">
        <f>Data!CT42/AI$4*100000*AI$3</f>
        <v>45867.051076237592</v>
      </c>
      <c r="AJ41" s="356">
        <f>Data!CU42/AJ$4*100000*AJ$3</f>
        <v>36512.637429510323</v>
      </c>
      <c r="AK41" s="358" t="s">
        <v>353</v>
      </c>
      <c r="AL41" s="356">
        <f t="shared" si="3"/>
        <v>614948.66934910673</v>
      </c>
      <c r="AM41" s="356">
        <f>Data!CD42/AM$4*100000*AM$3</f>
        <v>48930.993706930531</v>
      </c>
      <c r="AN41" s="356">
        <f>Data!CE42/AN$4*100000*AN$3</f>
        <v>29363.401456424715</v>
      </c>
      <c r="AO41" s="356">
        <f>Data!CF42/AO$4*100000*AO$3</f>
        <v>27525.461051472616</v>
      </c>
      <c r="AP41" s="356">
        <f>Data!CG42/AP$4*100000*AP$3</f>
        <v>0</v>
      </c>
      <c r="AQ41" s="356">
        <f>Data!CH42/AQ$4*100000*AQ$3</f>
        <v>0</v>
      </c>
      <c r="AR41" s="356">
        <f>Data!CI42/AR$4*100000*AR$3</f>
        <v>33633.229630875307</v>
      </c>
      <c r="AS41" s="356">
        <f>Data!CJ42/AS$4*100000*AS$3</f>
        <v>13670.228520653438</v>
      </c>
      <c r="AT41" s="356">
        <f>Data!CK42/AT$4*100000*AT$3</f>
        <v>6726.9853015371154</v>
      </c>
      <c r="AU41" s="356">
        <f>Data!CL42/AU$4*100000*AU$3</f>
        <v>35169.644688895183</v>
      </c>
      <c r="AV41" s="356">
        <f>Data!CM42/AV$4*100000*AV$3</f>
        <v>16539.405132728727</v>
      </c>
      <c r="AW41" s="356">
        <f>Data!CN42/AW$4*100000*AW$3</f>
        <v>46042.057326547008</v>
      </c>
      <c r="AX41" s="356">
        <f>Data!CO42/AX$4*100000*AX$3</f>
        <v>65025.068875237426</v>
      </c>
      <c r="AY41" s="356">
        <f>Data!CP42/AY$4*100000*AY$3</f>
        <v>61360.359162635636</v>
      </c>
      <c r="AZ41" s="356">
        <f>Data!CQ42/AZ$4*100000*AZ$3</f>
        <v>88618.237178758893</v>
      </c>
      <c r="BA41" s="356">
        <f>Data!CR42/BA$4*100000*BA$3</f>
        <v>64123.116383456232</v>
      </c>
      <c r="BB41" s="356">
        <f>Data!CS42/BB$4*100000*BB$3</f>
        <v>37030.636680079988</v>
      </c>
      <c r="BC41" s="356">
        <f>Data!CT42/BC$4*100000*BC$3</f>
        <v>22933.525538118796</v>
      </c>
      <c r="BD41" s="356">
        <f>Data!CU42/BD$4*100000*BD$3</f>
        <v>18256.318714755162</v>
      </c>
    </row>
    <row r="42" spans="1:56" ht="12" customHeight="1">
      <c r="A42" s="67"/>
      <c r="B42" s="150" t="str">
        <f>UPPER(LEFT(TRIM(Data!B43),1)) &amp; MID(TRIM(Data!B43),2,50)</f>
        <v>Kiti limfinio, kraujodaros audinių</v>
      </c>
      <c r="C42" s="129" t="str">
        <f>UPPER(LEFT(TRIM(Data!C43),1)) &amp; MID(TRIM(Data!C43),2,50)</f>
        <v>C88, C96</v>
      </c>
      <c r="D42" s="130">
        <f>Data!BQ43</f>
        <v>6</v>
      </c>
      <c r="E42" s="131">
        <f t="shared" si="4"/>
        <v>0.38290263168978766</v>
      </c>
      <c r="F42" s="132">
        <f t="shared" si="5"/>
        <v>0.26033342754574718</v>
      </c>
      <c r="G42" s="132">
        <f t="shared" si="6"/>
        <v>0.1885647206945491</v>
      </c>
      <c r="H42" s="72"/>
      <c r="I42" s="72"/>
      <c r="J42" s="72"/>
      <c r="K42" s="72"/>
      <c r="L42" s="72"/>
      <c r="M42" s="72"/>
      <c r="N42" s="72"/>
      <c r="O42" s="72"/>
      <c r="P42" s="269"/>
      <c r="Q42" s="358" t="s">
        <v>353</v>
      </c>
      <c r="R42" s="356">
        <f t="shared" si="2"/>
        <v>26033.342754574718</v>
      </c>
      <c r="S42" s="356">
        <f>Data!CD43/S$4*100000*S$3</f>
        <v>0</v>
      </c>
      <c r="T42" s="356">
        <f>Data!CE43/T$4*100000*T$3</f>
        <v>0</v>
      </c>
      <c r="U42" s="356">
        <f>Data!CF43/U$4*100000*U$3</f>
        <v>0</v>
      </c>
      <c r="V42" s="356">
        <f>Data!CG43/V$4*100000*V$3</f>
        <v>0</v>
      </c>
      <c r="W42" s="356">
        <f>Data!CH43/W$4*100000*W$3</f>
        <v>0</v>
      </c>
      <c r="X42" s="356">
        <f>Data!CI43/X$4*100000*X$3</f>
        <v>0</v>
      </c>
      <c r="Y42" s="356">
        <f>Data!CJ43/Y$4*100000*Y$3</f>
        <v>0</v>
      </c>
      <c r="Z42" s="356">
        <f>Data!CK43/Z$4*100000*Z$3</f>
        <v>7848.149518459968</v>
      </c>
      <c r="AA42" s="356">
        <f>Data!CL43/AA$4*100000*AA$3</f>
        <v>0</v>
      </c>
      <c r="AB42" s="356">
        <f>Data!CM43/AB$4*100000*AB$3</f>
        <v>0</v>
      </c>
      <c r="AC42" s="356">
        <f>Data!CN43/AC$4*100000*AC$3</f>
        <v>5859.8982051968933</v>
      </c>
      <c r="AD42" s="356">
        <f>Data!CO43/AD$4*100000*AD$3</f>
        <v>0</v>
      </c>
      <c r="AE42" s="356">
        <f>Data!CP43/AE$4*100000*AE$3</f>
        <v>0</v>
      </c>
      <c r="AF42" s="356">
        <f>Data!CQ43/AF$4*100000*AF$3</f>
        <v>0</v>
      </c>
      <c r="AG42" s="356">
        <f>Data!CR43/AG$4*100000*AG$3</f>
        <v>10687.186063909372</v>
      </c>
      <c r="AH42" s="356">
        <f>Data!CS43/AH$4*100000*AH$3</f>
        <v>0</v>
      </c>
      <c r="AI42" s="356">
        <f>Data!CT43/AI$4*100000*AI$3</f>
        <v>1638.1089670084857</v>
      </c>
      <c r="AJ42" s="356">
        <f>Data!CU43/AJ$4*100000*AJ$3</f>
        <v>0</v>
      </c>
      <c r="AK42" s="358" t="s">
        <v>353</v>
      </c>
      <c r="AL42" s="356">
        <f t="shared" si="3"/>
        <v>18856.472069454911</v>
      </c>
      <c r="AM42" s="356">
        <f>Data!CD43/AM$4*100000*AM$3</f>
        <v>0</v>
      </c>
      <c r="AN42" s="356">
        <f>Data!CE43/AN$4*100000*AN$3</f>
        <v>0</v>
      </c>
      <c r="AO42" s="356">
        <f>Data!CF43/AO$4*100000*AO$3</f>
        <v>0</v>
      </c>
      <c r="AP42" s="356">
        <f>Data!CG43/AP$4*100000*AP$3</f>
        <v>0</v>
      </c>
      <c r="AQ42" s="356">
        <f>Data!CH43/AQ$4*100000*AQ$3</f>
        <v>0</v>
      </c>
      <c r="AR42" s="356">
        <f>Data!CI43/AR$4*100000*AR$3</f>
        <v>0</v>
      </c>
      <c r="AS42" s="356">
        <f>Data!CJ43/AS$4*100000*AS$3</f>
        <v>0</v>
      </c>
      <c r="AT42" s="356">
        <f>Data!CK43/AT$4*100000*AT$3</f>
        <v>6726.9853015371154</v>
      </c>
      <c r="AU42" s="356">
        <f>Data!CL43/AU$4*100000*AU$3</f>
        <v>0</v>
      </c>
      <c r="AV42" s="356">
        <f>Data!CM43/AV$4*100000*AV$3</f>
        <v>0</v>
      </c>
      <c r="AW42" s="356">
        <f>Data!CN43/AW$4*100000*AW$3</f>
        <v>4185.6415751406375</v>
      </c>
      <c r="AX42" s="356">
        <f>Data!CO43/AX$4*100000*AX$3</f>
        <v>0</v>
      </c>
      <c r="AY42" s="356">
        <f>Data!CP43/AY$4*100000*AY$3</f>
        <v>0</v>
      </c>
      <c r="AZ42" s="356">
        <f>Data!CQ43/AZ$4*100000*AZ$3</f>
        <v>0</v>
      </c>
      <c r="BA42" s="356">
        <f>Data!CR43/BA$4*100000*BA$3</f>
        <v>7124.7907092729147</v>
      </c>
      <c r="BB42" s="356">
        <f>Data!CS43/BB$4*100000*BB$3</f>
        <v>0</v>
      </c>
      <c r="BC42" s="356">
        <f>Data!CT43/BC$4*100000*BC$3</f>
        <v>819.05448350424285</v>
      </c>
      <c r="BD42" s="356">
        <f>Data!CU43/BD$4*100000*BD$3</f>
        <v>0</v>
      </c>
    </row>
    <row r="43" spans="1:56" ht="24" customHeight="1">
      <c r="A43" s="67"/>
      <c r="B43" s="298"/>
      <c r="C43" s="298"/>
      <c r="D43" s="299"/>
      <c r="E43" s="300"/>
      <c r="F43" s="301"/>
      <c r="G43" s="301"/>
      <c r="H43" s="72"/>
      <c r="I43" s="72"/>
      <c r="J43" s="72"/>
      <c r="K43" s="72"/>
      <c r="L43" s="72"/>
      <c r="M43" s="72"/>
      <c r="N43" s="72"/>
      <c r="O43" s="72"/>
      <c r="P43" s="269"/>
      <c r="Q43" s="358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8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/>
      <c r="AW43" s="356"/>
      <c r="AX43" s="356"/>
      <c r="AY43" s="356"/>
      <c r="AZ43" s="356"/>
      <c r="BA43" s="356"/>
      <c r="BB43" s="356"/>
      <c r="BC43" s="356"/>
      <c r="BD43" s="356"/>
    </row>
    <row r="44" spans="1:56" ht="12" customHeight="1">
      <c r="A44" s="67"/>
      <c r="B44" s="150" t="str">
        <f>UPPER(LEFT(TRIM(Data!B44),1)) &amp; MID(TRIM(Data!B44),2,50)</f>
        <v>Melanoma in situ</v>
      </c>
      <c r="C44" s="129" t="str">
        <f>UPPER(LEFT(TRIM(Data!C44),1)) &amp; MID(TRIM(Data!C44),2,50)</f>
        <v>D03</v>
      </c>
      <c r="D44" s="130">
        <f>Data!BQ44</f>
        <v>36</v>
      </c>
      <c r="E44" s="131">
        <f t="shared" si="4"/>
        <v>2.2974157901387255</v>
      </c>
      <c r="F44" s="132">
        <f t="shared" si="5"/>
        <v>1.6216467664601808</v>
      </c>
      <c r="G44" s="132">
        <f t="shared" si="6"/>
        <v>1.1832922240857326</v>
      </c>
      <c r="H44" s="72"/>
      <c r="I44" s="72"/>
      <c r="J44" s="72"/>
      <c r="K44" s="72"/>
      <c r="L44" s="72"/>
      <c r="M44" s="72"/>
      <c r="N44" s="72"/>
      <c r="O44" s="72"/>
      <c r="P44" s="269"/>
      <c r="Q44" s="358" t="s">
        <v>353</v>
      </c>
      <c r="R44" s="356">
        <f t="shared" si="2"/>
        <v>162164.67664601808</v>
      </c>
      <c r="S44" s="356">
        <f>Data!CD44/S$4*100000*S$3</f>
        <v>0</v>
      </c>
      <c r="T44" s="356">
        <f>Data!CE44/T$4*100000*T$3</f>
        <v>0</v>
      </c>
      <c r="U44" s="356">
        <f>Data!CF44/U$4*100000*U$3</f>
        <v>0</v>
      </c>
      <c r="V44" s="356">
        <f>Data!CG44/V$4*100000*V$3</f>
        <v>0</v>
      </c>
      <c r="W44" s="356">
        <f>Data!CH44/W$4*100000*W$3</f>
        <v>0</v>
      </c>
      <c r="X44" s="356">
        <f>Data!CI44/X$4*100000*X$3</f>
        <v>0</v>
      </c>
      <c r="Y44" s="356">
        <f>Data!CJ44/Y$4*100000*Y$3</f>
        <v>15948.599940762344</v>
      </c>
      <c r="Z44" s="356">
        <f>Data!CK44/Z$4*100000*Z$3</f>
        <v>7848.149518459968</v>
      </c>
      <c r="AA44" s="356">
        <f>Data!CL44/AA$4*100000*AA$3</f>
        <v>13677.084045681462</v>
      </c>
      <c r="AB44" s="356">
        <f>Data!CM44/AB$4*100000*AB$3</f>
        <v>12863.98176990012</v>
      </c>
      <c r="AC44" s="356">
        <f>Data!CN44/AC$4*100000*AC$3</f>
        <v>11719.796410393787</v>
      </c>
      <c r="AD44" s="356">
        <f>Data!CO44/AD$4*100000*AD$3</f>
        <v>30801.348414586148</v>
      </c>
      <c r="AE44" s="356">
        <f>Data!CP44/AE$4*100000*AE$3</f>
        <v>15340.089790658909</v>
      </c>
      <c r="AF44" s="356">
        <f>Data!CQ44/AF$4*100000*AF$3</f>
        <v>9089.0499670521949</v>
      </c>
      <c r="AG44" s="356">
        <f>Data!CR44/AG$4*100000*AG$3</f>
        <v>28499.162837091659</v>
      </c>
      <c r="AH44" s="356">
        <f>Data!CS44/AH$4*100000*AH$3</f>
        <v>7406.1273360159967</v>
      </c>
      <c r="AI44" s="356">
        <f>Data!CT44/AI$4*100000*AI$3</f>
        <v>4914.3269010254562</v>
      </c>
      <c r="AJ44" s="356">
        <f>Data!CU44/AJ$4*100000*AJ$3</f>
        <v>4056.959714390036</v>
      </c>
      <c r="AK44" s="358" t="s">
        <v>353</v>
      </c>
      <c r="AL44" s="356">
        <f t="shared" si="3"/>
        <v>118329.22240857327</v>
      </c>
      <c r="AM44" s="356">
        <f>Data!CD44/AM$4*100000*AM$3</f>
        <v>0</v>
      </c>
      <c r="AN44" s="356">
        <f>Data!CE44/AN$4*100000*AN$3</f>
        <v>0</v>
      </c>
      <c r="AO44" s="356">
        <f>Data!CF44/AO$4*100000*AO$3</f>
        <v>0</v>
      </c>
      <c r="AP44" s="356">
        <f>Data!CG44/AP$4*100000*AP$3</f>
        <v>0</v>
      </c>
      <c r="AQ44" s="356">
        <f>Data!CH44/AQ$4*100000*AQ$3</f>
        <v>0</v>
      </c>
      <c r="AR44" s="356">
        <f>Data!CI44/AR$4*100000*AR$3</f>
        <v>0</v>
      </c>
      <c r="AS44" s="356">
        <f>Data!CJ44/AS$4*100000*AS$3</f>
        <v>13670.228520653438</v>
      </c>
      <c r="AT44" s="356">
        <f>Data!CK44/AT$4*100000*AT$3</f>
        <v>6726.9853015371154</v>
      </c>
      <c r="AU44" s="356">
        <f>Data!CL44/AU$4*100000*AU$3</f>
        <v>11723.214896298396</v>
      </c>
      <c r="AV44" s="356">
        <f>Data!CM44/AV$4*100000*AV$3</f>
        <v>11026.270088485817</v>
      </c>
      <c r="AW44" s="356">
        <f>Data!CN44/AW$4*100000*AW$3</f>
        <v>8371.2831502812751</v>
      </c>
      <c r="AX44" s="356">
        <f>Data!CO44/AX$4*100000*AX$3</f>
        <v>20534.232276390765</v>
      </c>
      <c r="AY44" s="356">
        <f>Data!CP44/AY$4*100000*AY$3</f>
        <v>12272.071832527126</v>
      </c>
      <c r="AZ44" s="356">
        <f>Data!CQ44/AZ$4*100000*AZ$3</f>
        <v>6816.7874752891457</v>
      </c>
      <c r="BA44" s="356">
        <f>Data!CR44/BA$4*100000*BA$3</f>
        <v>18999.441891394439</v>
      </c>
      <c r="BB44" s="356">
        <f>Data!CS44/BB$4*100000*BB$3</f>
        <v>3703.0636680079983</v>
      </c>
      <c r="BC44" s="356">
        <f>Data!CT44/BC$4*100000*BC$3</f>
        <v>2457.1634505127281</v>
      </c>
      <c r="BD44" s="356">
        <f>Data!CU44/BD$4*100000*BD$3</f>
        <v>2028.479857195018</v>
      </c>
    </row>
    <row r="45" spans="1:56" ht="12" customHeight="1">
      <c r="A45" s="67"/>
      <c r="B45" s="293" t="str">
        <f>UPPER(LEFT(TRIM(Data!B45),1)) &amp; MID(TRIM(Data!B45),2,50)</f>
        <v>Krūties navikai in situ</v>
      </c>
      <c r="C45" s="294" t="str">
        <f>UPPER(LEFT(TRIM(Data!C45),1)) &amp; MID(TRIM(Data!C45),2,50)</f>
        <v>D05</v>
      </c>
      <c r="D45" s="295">
        <f>Data!BQ45</f>
        <v>89</v>
      </c>
      <c r="E45" s="296">
        <f t="shared" si="4"/>
        <v>5.6797223700651829</v>
      </c>
      <c r="F45" s="297">
        <f t="shared" si="5"/>
        <v>4.7620483195036192</v>
      </c>
      <c r="G45" s="297">
        <f t="shared" si="6"/>
        <v>3.5965786404307205</v>
      </c>
      <c r="H45" s="72"/>
      <c r="I45" s="72"/>
      <c r="J45" s="72"/>
      <c r="K45" s="72"/>
      <c r="L45" s="72"/>
      <c r="M45" s="72"/>
      <c r="N45" s="72"/>
      <c r="O45" s="72"/>
      <c r="P45" s="269"/>
      <c r="Q45" s="358" t="s">
        <v>353</v>
      </c>
      <c r="R45" s="356">
        <f t="shared" si="2"/>
        <v>476204.83195036196</v>
      </c>
      <c r="S45" s="356">
        <f>Data!CD45/S$4*100000*S$3</f>
        <v>0</v>
      </c>
      <c r="T45" s="356">
        <f>Data!CE45/T$4*100000*T$3</f>
        <v>0</v>
      </c>
      <c r="U45" s="356">
        <f>Data!CF45/U$4*100000*U$3</f>
        <v>0</v>
      </c>
      <c r="V45" s="356">
        <f>Data!CG45/V$4*100000*V$3</f>
        <v>0</v>
      </c>
      <c r="W45" s="356">
        <f>Data!CH45/W$4*100000*W$3</f>
        <v>0</v>
      </c>
      <c r="X45" s="356">
        <f>Data!CI45/X$4*100000*X$3</f>
        <v>7357.2689817539731</v>
      </c>
      <c r="Y45" s="356">
        <f>Data!CJ45/Y$4*100000*Y$3</f>
        <v>0</v>
      </c>
      <c r="Z45" s="356">
        <f>Data!CK45/Z$4*100000*Z$3</f>
        <v>31392.598073839872</v>
      </c>
      <c r="AA45" s="356">
        <f>Data!CL45/AA$4*100000*AA$3</f>
        <v>47869.79415988511</v>
      </c>
      <c r="AB45" s="356">
        <f>Data!CM45/AB$4*100000*AB$3</f>
        <v>32159.9544247503</v>
      </c>
      <c r="AC45" s="356">
        <f>Data!CN45/AC$4*100000*AC$3</f>
        <v>140637.55692472542</v>
      </c>
      <c r="AD45" s="356">
        <f>Data!CO45/AD$4*100000*AD$3</f>
        <v>71869.812967367689</v>
      </c>
      <c r="AE45" s="356">
        <f>Data!CP45/AE$4*100000*AE$3</f>
        <v>66473.7224261886</v>
      </c>
      <c r="AF45" s="356">
        <f>Data!CQ45/AF$4*100000*AF$3</f>
        <v>40900.724851734871</v>
      </c>
      <c r="AG45" s="356">
        <f>Data!CR45/AG$4*100000*AG$3</f>
        <v>28499.162837091659</v>
      </c>
      <c r="AH45" s="356">
        <f>Data!CS45/AH$4*100000*AH$3</f>
        <v>7406.1273360159967</v>
      </c>
      <c r="AI45" s="356">
        <f>Data!CT45/AI$4*100000*AI$3</f>
        <v>1638.1089670084857</v>
      </c>
      <c r="AJ45" s="356">
        <f>Data!CU45/AJ$4*100000*AJ$3</f>
        <v>0</v>
      </c>
      <c r="AK45" s="358" t="s">
        <v>353</v>
      </c>
      <c r="AL45" s="356">
        <f t="shared" si="3"/>
        <v>359657.86404307204</v>
      </c>
      <c r="AM45" s="356">
        <f>Data!CD45/AM$4*100000*AM$3</f>
        <v>0</v>
      </c>
      <c r="AN45" s="356">
        <f>Data!CE45/AN$4*100000*AN$3</f>
        <v>0</v>
      </c>
      <c r="AO45" s="356">
        <f>Data!CF45/AO$4*100000*AO$3</f>
        <v>0</v>
      </c>
      <c r="AP45" s="356">
        <f>Data!CG45/AP$4*100000*AP$3</f>
        <v>0</v>
      </c>
      <c r="AQ45" s="356">
        <f>Data!CH45/AQ$4*100000*AQ$3</f>
        <v>0</v>
      </c>
      <c r="AR45" s="356">
        <f>Data!CI45/AR$4*100000*AR$3</f>
        <v>8408.3074077188267</v>
      </c>
      <c r="AS45" s="356">
        <f>Data!CJ45/AS$4*100000*AS$3</f>
        <v>0</v>
      </c>
      <c r="AT45" s="356">
        <f>Data!CK45/AT$4*100000*AT$3</f>
        <v>26907.941206148462</v>
      </c>
      <c r="AU45" s="356">
        <f>Data!CL45/AU$4*100000*AU$3</f>
        <v>41031.252137044386</v>
      </c>
      <c r="AV45" s="356">
        <f>Data!CM45/AV$4*100000*AV$3</f>
        <v>27565.675221214544</v>
      </c>
      <c r="AW45" s="356">
        <f>Data!CN45/AW$4*100000*AW$3</f>
        <v>100455.39780337529</v>
      </c>
      <c r="AX45" s="356">
        <f>Data!CO45/AX$4*100000*AX$3</f>
        <v>47913.208644911792</v>
      </c>
      <c r="AY45" s="356">
        <f>Data!CP45/AY$4*100000*AY$3</f>
        <v>53178.977940950877</v>
      </c>
      <c r="AZ45" s="356">
        <f>Data!CQ45/AZ$4*100000*AZ$3</f>
        <v>30675.543638801155</v>
      </c>
      <c r="BA45" s="356">
        <f>Data!CR45/BA$4*100000*BA$3</f>
        <v>18999.441891394439</v>
      </c>
      <c r="BB45" s="356">
        <f>Data!CS45/BB$4*100000*BB$3</f>
        <v>3703.0636680079983</v>
      </c>
      <c r="BC45" s="356">
        <f>Data!CT45/BC$4*100000*BC$3</f>
        <v>819.05448350424285</v>
      </c>
      <c r="BD45" s="356">
        <f>Data!CU45/BD$4*100000*BD$3</f>
        <v>0</v>
      </c>
    </row>
    <row r="46" spans="1:56" ht="12" customHeight="1">
      <c r="A46" s="67"/>
      <c r="B46" s="150" t="str">
        <f>UPPER(LEFT(TRIM(Data!B46),1)) &amp; MID(TRIM(Data!B46),2,50)</f>
        <v>Gimdos kaklelio in situ</v>
      </c>
      <c r="C46" s="129" t="str">
        <f>UPPER(LEFT(TRIM(Data!C46),1)) &amp; MID(TRIM(Data!C46),2,50)</f>
        <v>D06</v>
      </c>
      <c r="D46" s="130">
        <f>Data!BQ46</f>
        <v>661</v>
      </c>
      <c r="E46" s="131">
        <f t="shared" si="4"/>
        <v>42.183106591158271</v>
      </c>
      <c r="F46" s="132">
        <f t="shared" si="5"/>
        <v>47.628739073525217</v>
      </c>
      <c r="G46" s="132">
        <f t="shared" si="6"/>
        <v>43.427435675173058</v>
      </c>
      <c r="H46" s="72"/>
      <c r="I46" s="72"/>
      <c r="J46" s="72"/>
      <c r="K46" s="72"/>
      <c r="L46" s="72"/>
      <c r="M46" s="72"/>
      <c r="N46" s="72"/>
      <c r="O46" s="72"/>
      <c r="P46" s="269"/>
      <c r="Q46" s="358" t="s">
        <v>353</v>
      </c>
      <c r="R46" s="356">
        <f t="shared" si="2"/>
        <v>4762873.907352522</v>
      </c>
      <c r="S46" s="356">
        <f>Data!CD46/S$4*100000*S$3</f>
        <v>0</v>
      </c>
      <c r="T46" s="356">
        <f>Data!CE46/T$4*100000*T$3</f>
        <v>0</v>
      </c>
      <c r="U46" s="356">
        <f>Data!CF46/U$4*100000*U$3</f>
        <v>0</v>
      </c>
      <c r="V46" s="356">
        <f>Data!CG46/V$4*100000*V$3</f>
        <v>0</v>
      </c>
      <c r="W46" s="356">
        <f>Data!CH46/W$4*100000*W$3</f>
        <v>85661.839689985718</v>
      </c>
      <c r="X46" s="356">
        <f>Data!CI46/X$4*100000*X$3</f>
        <v>1059446.7333725721</v>
      </c>
      <c r="Y46" s="356">
        <f>Data!CJ46/Y$4*100000*Y$3</f>
        <v>1299810.895172131</v>
      </c>
      <c r="Z46" s="356">
        <f>Data!CK46/Z$4*100000*Z$3</f>
        <v>1004563.1383628759</v>
      </c>
      <c r="AA46" s="356">
        <f>Data!CL46/AA$4*100000*AA$3</f>
        <v>540244.81980441767</v>
      </c>
      <c r="AB46" s="356">
        <f>Data!CM46/AB$4*100000*AB$3</f>
        <v>360191.48955720337</v>
      </c>
      <c r="AC46" s="356">
        <f>Data!CN46/AC$4*100000*AC$3</f>
        <v>222676.13179748191</v>
      </c>
      <c r="AD46" s="356">
        <f>Data!CO46/AD$4*100000*AD$3</f>
        <v>148873.18400383307</v>
      </c>
      <c r="AE46" s="356">
        <f>Data!CP46/AE$4*100000*AE$3</f>
        <v>15340.089790658909</v>
      </c>
      <c r="AF46" s="356">
        <f>Data!CQ46/AF$4*100000*AF$3</f>
        <v>9089.0499670521949</v>
      </c>
      <c r="AG46" s="356">
        <f>Data!CR46/AG$4*100000*AG$3</f>
        <v>7124.7907092729147</v>
      </c>
      <c r="AH46" s="356">
        <f>Data!CS46/AH$4*100000*AH$3</f>
        <v>4937.4182240106657</v>
      </c>
      <c r="AI46" s="356">
        <f>Data!CT46/AI$4*100000*AI$3</f>
        <v>4914.3269010254562</v>
      </c>
      <c r="AJ46" s="356">
        <f>Data!CU46/AJ$4*100000*AJ$3</f>
        <v>0</v>
      </c>
      <c r="AK46" s="358" t="s">
        <v>353</v>
      </c>
      <c r="AL46" s="356">
        <f t="shared" si="3"/>
        <v>4342743.5675173057</v>
      </c>
      <c r="AM46" s="356">
        <f>Data!CD46/AM$4*100000*AM$3</f>
        <v>0</v>
      </c>
      <c r="AN46" s="356">
        <f>Data!CE46/AN$4*100000*AN$3</f>
        <v>0</v>
      </c>
      <c r="AO46" s="356">
        <f>Data!CF46/AO$4*100000*AO$3</f>
        <v>0</v>
      </c>
      <c r="AP46" s="356">
        <f>Data!CG46/AP$4*100000*AP$3</f>
        <v>0</v>
      </c>
      <c r="AQ46" s="356">
        <f>Data!CH46/AQ$4*100000*AQ$3</f>
        <v>97899.245359983674</v>
      </c>
      <c r="AR46" s="356">
        <f>Data!CI46/AR$4*100000*AR$3</f>
        <v>1210796.266711511</v>
      </c>
      <c r="AS46" s="356">
        <f>Data!CJ46/AS$4*100000*AS$3</f>
        <v>1114123.6244332553</v>
      </c>
      <c r="AT46" s="356">
        <f>Data!CK46/AT$4*100000*AT$3</f>
        <v>861054.11859675078</v>
      </c>
      <c r="AU46" s="356">
        <f>Data!CL46/AU$4*100000*AU$3</f>
        <v>463066.98840378656</v>
      </c>
      <c r="AV46" s="356">
        <f>Data!CM46/AV$4*100000*AV$3</f>
        <v>308735.56247760286</v>
      </c>
      <c r="AW46" s="356">
        <f>Data!CN46/AW$4*100000*AW$3</f>
        <v>159054.37985534422</v>
      </c>
      <c r="AX46" s="356">
        <f>Data!CO46/AX$4*100000*AX$3</f>
        <v>99248.789335888723</v>
      </c>
      <c r="AY46" s="356">
        <f>Data!CP46/AY$4*100000*AY$3</f>
        <v>12272.071832527126</v>
      </c>
      <c r="AZ46" s="356">
        <f>Data!CQ46/AZ$4*100000*AZ$3</f>
        <v>6816.7874752891457</v>
      </c>
      <c r="BA46" s="356">
        <f>Data!CR46/BA$4*100000*BA$3</f>
        <v>4749.8604728486098</v>
      </c>
      <c r="BB46" s="356">
        <f>Data!CS46/BB$4*100000*BB$3</f>
        <v>2468.7091120053328</v>
      </c>
      <c r="BC46" s="356">
        <f>Data!CT46/BC$4*100000*BC$3</f>
        <v>2457.1634505127281</v>
      </c>
      <c r="BD46" s="356">
        <f>Data!CU46/BD$4*100000*BD$3</f>
        <v>0</v>
      </c>
    </row>
    <row r="47" spans="1:56" ht="12" customHeight="1">
      <c r="A47" s="67"/>
      <c r="B47" s="293" t="str">
        <f>UPPER(LEFT(TRIM(Data!B47),1)) &amp; MID(TRIM(Data!B47),2,50)</f>
        <v>Šlapimo pūslės in situ</v>
      </c>
      <c r="C47" s="294" t="str">
        <f>UPPER(LEFT(TRIM(Data!C47),1)) &amp; MID(TRIM(Data!C47),2,50)</f>
        <v>D09.0</v>
      </c>
      <c r="D47" s="295">
        <f>Data!BQ47</f>
        <v>39</v>
      </c>
      <c r="E47" s="296">
        <f t="shared" si="4"/>
        <v>2.4888671059836196</v>
      </c>
      <c r="F47" s="297">
        <f t="shared" si="5"/>
        <v>1.5788596588643573</v>
      </c>
      <c r="G47" s="297">
        <f t="shared" si="6"/>
        <v>1.1561214496931631</v>
      </c>
      <c r="H47" s="72"/>
      <c r="I47" s="72"/>
      <c r="J47" s="72"/>
      <c r="K47" s="72"/>
      <c r="L47" s="72"/>
      <c r="M47" s="72"/>
      <c r="N47" s="72"/>
      <c r="O47" s="72"/>
      <c r="P47" s="269"/>
      <c r="Q47" s="358" t="s">
        <v>353</v>
      </c>
      <c r="R47" s="356">
        <f t="shared" si="2"/>
        <v>157885.96588643573</v>
      </c>
      <c r="S47" s="356">
        <f>Data!CD47/S$4*100000*S$3</f>
        <v>0</v>
      </c>
      <c r="T47" s="356">
        <f>Data!CE47/T$4*100000*T$3</f>
        <v>0</v>
      </c>
      <c r="U47" s="356">
        <f>Data!CF47/U$4*100000*U$3</f>
        <v>0</v>
      </c>
      <c r="V47" s="356">
        <f>Data!CG47/V$4*100000*V$3</f>
        <v>8661.0081413476546</v>
      </c>
      <c r="W47" s="356">
        <f>Data!CH47/W$4*100000*W$3</f>
        <v>0</v>
      </c>
      <c r="X47" s="356">
        <f>Data!CI47/X$4*100000*X$3</f>
        <v>0</v>
      </c>
      <c r="Y47" s="356">
        <f>Data!CJ47/Y$4*100000*Y$3</f>
        <v>0</v>
      </c>
      <c r="Z47" s="356">
        <f>Data!CK47/Z$4*100000*Z$3</f>
        <v>0</v>
      </c>
      <c r="AA47" s="356">
        <f>Data!CL47/AA$4*100000*AA$3</f>
        <v>0</v>
      </c>
      <c r="AB47" s="356">
        <f>Data!CM47/AB$4*100000*AB$3</f>
        <v>12863.98176990012</v>
      </c>
      <c r="AC47" s="356">
        <f>Data!CN47/AC$4*100000*AC$3</f>
        <v>11719.796410393787</v>
      </c>
      <c r="AD47" s="356">
        <f>Data!CO47/AD$4*100000*AD$3</f>
        <v>20534.232276390765</v>
      </c>
      <c r="AE47" s="356">
        <f>Data!CP47/AE$4*100000*AE$3</f>
        <v>35793.54284487079</v>
      </c>
      <c r="AF47" s="356">
        <f>Data!CQ47/AF$4*100000*AF$3</f>
        <v>27267.149901156587</v>
      </c>
      <c r="AG47" s="356">
        <f>Data!CR47/AG$4*100000*AG$3</f>
        <v>10687.186063909372</v>
      </c>
      <c r="AH47" s="356">
        <f>Data!CS47/AH$4*100000*AH$3</f>
        <v>19749.672896042663</v>
      </c>
      <c r="AI47" s="356">
        <f>Data!CT47/AI$4*100000*AI$3</f>
        <v>6552.4358680339428</v>
      </c>
      <c r="AJ47" s="356">
        <f>Data!CU47/AJ$4*100000*AJ$3</f>
        <v>4056.959714390036</v>
      </c>
      <c r="AK47" s="358" t="s">
        <v>353</v>
      </c>
      <c r="AL47" s="356">
        <f t="shared" si="3"/>
        <v>115612.14496931632</v>
      </c>
      <c r="AM47" s="356">
        <f>Data!CD47/AM$4*100000*AM$3</f>
        <v>0</v>
      </c>
      <c r="AN47" s="356">
        <f>Data!CE47/AN$4*100000*AN$3</f>
        <v>0</v>
      </c>
      <c r="AO47" s="356">
        <f>Data!CF47/AO$4*100000*AO$3</f>
        <v>0</v>
      </c>
      <c r="AP47" s="356">
        <f>Data!CG47/AP$4*100000*AP$3</f>
        <v>11135.581896018411</v>
      </c>
      <c r="AQ47" s="356">
        <f>Data!CH47/AQ$4*100000*AQ$3</f>
        <v>0</v>
      </c>
      <c r="AR47" s="356">
        <f>Data!CI47/AR$4*100000*AR$3</f>
        <v>0</v>
      </c>
      <c r="AS47" s="356">
        <f>Data!CJ47/AS$4*100000*AS$3</f>
        <v>0</v>
      </c>
      <c r="AT47" s="356">
        <f>Data!CK47/AT$4*100000*AT$3</f>
        <v>0</v>
      </c>
      <c r="AU47" s="356">
        <f>Data!CL47/AU$4*100000*AU$3</f>
        <v>0</v>
      </c>
      <c r="AV47" s="356">
        <f>Data!CM47/AV$4*100000*AV$3</f>
        <v>11026.270088485817</v>
      </c>
      <c r="AW47" s="356">
        <f>Data!CN47/AW$4*100000*AW$3</f>
        <v>8371.2831502812751</v>
      </c>
      <c r="AX47" s="356">
        <f>Data!CO47/AX$4*100000*AX$3</f>
        <v>13689.48818426051</v>
      </c>
      <c r="AY47" s="356">
        <f>Data!CP47/AY$4*100000*AY$3</f>
        <v>28634.834275896628</v>
      </c>
      <c r="AZ47" s="356">
        <f>Data!CQ47/AZ$4*100000*AZ$3</f>
        <v>20450.362425867439</v>
      </c>
      <c r="BA47" s="356">
        <f>Data!CR47/BA$4*100000*BA$3</f>
        <v>7124.7907092729147</v>
      </c>
      <c r="BB47" s="356">
        <f>Data!CS47/BB$4*100000*BB$3</f>
        <v>9874.8364480213313</v>
      </c>
      <c r="BC47" s="356">
        <f>Data!CT47/BC$4*100000*BC$3</f>
        <v>3276.2179340169714</v>
      </c>
      <c r="BD47" s="356">
        <f>Data!CU47/BD$4*100000*BD$3</f>
        <v>2028.479857195018</v>
      </c>
    </row>
    <row r="48" spans="1:56" ht="12" customHeight="1">
      <c r="A48" s="67"/>
      <c r="B48" s="150" t="str">
        <f>UPPER(LEFT(TRIM(Data!B48),1)) &amp; MID(TRIM(Data!B48),2,50)</f>
        <v>Nervų sistemos gerybiniai navikai</v>
      </c>
      <c r="C48" s="129" t="str">
        <f>UPPER(LEFT(TRIM(Data!C48),1)) &amp; MID(TRIM(Data!C48),2,50)</f>
        <v>D32, D33</v>
      </c>
      <c r="D48" s="130">
        <f>Data!BQ48</f>
        <v>148</v>
      </c>
      <c r="E48" s="131">
        <f t="shared" si="4"/>
        <v>9.444931581681427</v>
      </c>
      <c r="F48" s="132">
        <f t="shared" si="5"/>
        <v>6.7977185714095105</v>
      </c>
      <c r="G48" s="132">
        <f t="shared" si="6"/>
        <v>5.2160294483991256</v>
      </c>
      <c r="H48" s="72"/>
      <c r="I48" s="72"/>
      <c r="J48" s="72"/>
      <c r="K48" s="72"/>
      <c r="L48" s="72"/>
      <c r="M48" s="72"/>
      <c r="N48" s="72"/>
      <c r="O48" s="72"/>
      <c r="P48" s="269"/>
      <c r="Q48" s="358" t="s">
        <v>353</v>
      </c>
      <c r="R48" s="356">
        <f t="shared" si="2"/>
        <v>679771.85714095109</v>
      </c>
      <c r="S48" s="356">
        <f>Data!CD48/S$4*100000*S$3</f>
        <v>21747.108314191348</v>
      </c>
      <c r="T48" s="356">
        <f>Data!CE48/T$4*100000*T$3</f>
        <v>0</v>
      </c>
      <c r="U48" s="356">
        <f>Data!CF48/U$4*100000*U$3</f>
        <v>10704.345964461572</v>
      </c>
      <c r="V48" s="356">
        <f>Data!CG48/V$4*100000*V$3</f>
        <v>0</v>
      </c>
      <c r="W48" s="356">
        <f>Data!CH48/W$4*100000*W$3</f>
        <v>7138.4866408321441</v>
      </c>
      <c r="X48" s="356">
        <f>Data!CI48/X$4*100000*X$3</f>
        <v>7357.2689817539731</v>
      </c>
      <c r="Y48" s="356">
        <f>Data!CJ48/Y$4*100000*Y$3</f>
        <v>7974.299970381172</v>
      </c>
      <c r="Z48" s="356">
        <f>Data!CK48/Z$4*100000*Z$3</f>
        <v>39240.747592299842</v>
      </c>
      <c r="AA48" s="356">
        <f>Data!CL48/AA$4*100000*AA$3</f>
        <v>34192.710114203655</v>
      </c>
      <c r="AB48" s="356">
        <f>Data!CM48/AB$4*100000*AB$3</f>
        <v>38591.945309700364</v>
      </c>
      <c r="AC48" s="356">
        <f>Data!CN48/AC$4*100000*AC$3</f>
        <v>99618.26948834717</v>
      </c>
      <c r="AD48" s="356">
        <f>Data!CO48/AD$4*100000*AD$3</f>
        <v>66736.254898269995</v>
      </c>
      <c r="AE48" s="356">
        <f>Data!CP48/AE$4*100000*AE$3</f>
        <v>107380.62853461235</v>
      </c>
      <c r="AF48" s="356">
        <f>Data!CQ48/AF$4*100000*AF$3</f>
        <v>81801.449703469742</v>
      </c>
      <c r="AG48" s="356">
        <f>Data!CR48/AG$4*100000*AG$3</f>
        <v>85497.488511274976</v>
      </c>
      <c r="AH48" s="356">
        <f>Data!CS48/AH$4*100000*AH$3</f>
        <v>46905.473128101323</v>
      </c>
      <c r="AI48" s="356">
        <f>Data!CT48/AI$4*100000*AI$3</f>
        <v>14742.98070307637</v>
      </c>
      <c r="AJ48" s="356">
        <f>Data!CU48/AJ$4*100000*AJ$3</f>
        <v>10142.399285975091</v>
      </c>
      <c r="AK48" s="358" t="s">
        <v>353</v>
      </c>
      <c r="AL48" s="356">
        <f t="shared" si="3"/>
        <v>521602.94483991258</v>
      </c>
      <c r="AM48" s="356">
        <f>Data!CD48/AM$4*100000*AM$3</f>
        <v>32620.662471287022</v>
      </c>
      <c r="AN48" s="356">
        <f>Data!CE48/AN$4*100000*AN$3</f>
        <v>0</v>
      </c>
      <c r="AO48" s="356">
        <f>Data!CF48/AO$4*100000*AO$3</f>
        <v>13762.730525736308</v>
      </c>
      <c r="AP48" s="356">
        <f>Data!CG48/AP$4*100000*AP$3</f>
        <v>0</v>
      </c>
      <c r="AQ48" s="356">
        <f>Data!CH48/AQ$4*100000*AQ$3</f>
        <v>8158.2704466653076</v>
      </c>
      <c r="AR48" s="356">
        <f>Data!CI48/AR$4*100000*AR$3</f>
        <v>8408.3074077188267</v>
      </c>
      <c r="AS48" s="356">
        <f>Data!CJ48/AS$4*100000*AS$3</f>
        <v>6835.114260326719</v>
      </c>
      <c r="AT48" s="356">
        <f>Data!CK48/AT$4*100000*AT$3</f>
        <v>33634.926507685581</v>
      </c>
      <c r="AU48" s="356">
        <f>Data!CL48/AU$4*100000*AU$3</f>
        <v>29308.037240745987</v>
      </c>
      <c r="AV48" s="356">
        <f>Data!CM48/AV$4*100000*AV$3</f>
        <v>33078.810265457454</v>
      </c>
      <c r="AW48" s="356">
        <f>Data!CN48/AW$4*100000*AW$3</f>
        <v>71155.906777390832</v>
      </c>
      <c r="AX48" s="356">
        <f>Data!CO48/AX$4*100000*AX$3</f>
        <v>44490.836598846661</v>
      </c>
      <c r="AY48" s="356">
        <f>Data!CP48/AY$4*100000*AY$3</f>
        <v>85904.502827689881</v>
      </c>
      <c r="AZ48" s="356">
        <f>Data!CQ48/AZ$4*100000*AZ$3</f>
        <v>61351.08727760231</v>
      </c>
      <c r="BA48" s="356">
        <f>Data!CR48/BA$4*100000*BA$3</f>
        <v>56998.325674183317</v>
      </c>
      <c r="BB48" s="356">
        <f>Data!CS48/BB$4*100000*BB$3</f>
        <v>23452.736564050661</v>
      </c>
      <c r="BC48" s="356">
        <f>Data!CT48/BC$4*100000*BC$3</f>
        <v>7371.4903515381848</v>
      </c>
      <c r="BD48" s="356">
        <f>Data!CU48/BD$4*100000*BD$3</f>
        <v>5071.1996429875453</v>
      </c>
    </row>
    <row r="49" spans="1:56" ht="12" customHeight="1">
      <c r="A49" s="67"/>
      <c r="B49" s="293" t="str">
        <f>UPPER(LEFT(TRIM(Data!B49),1)) &amp; MID(TRIM(Data!B49),2,50)</f>
        <v>Kiaušidžių</v>
      </c>
      <c r="C49" s="294" t="str">
        <f>UPPER(LEFT(TRIM(Data!C49),1)) &amp; MID(TRIM(Data!C49),2,50)</f>
        <v>D39.1</v>
      </c>
      <c r="D49" s="295">
        <f>Data!BQ49</f>
        <v>67</v>
      </c>
      <c r="E49" s="296">
        <f t="shared" si="4"/>
        <v>4.2757460538692946</v>
      </c>
      <c r="F49" s="297">
        <f t="shared" si="5"/>
        <v>4.0380381681611626</v>
      </c>
      <c r="G49" s="297">
        <f t="shared" si="6"/>
        <v>3.3679109300558432</v>
      </c>
      <c r="H49" s="72"/>
      <c r="I49" s="72"/>
      <c r="J49" s="72"/>
      <c r="K49" s="72"/>
      <c r="L49" s="72"/>
      <c r="M49" s="72"/>
      <c r="N49" s="72"/>
      <c r="O49" s="72"/>
      <c r="P49" s="269"/>
      <c r="Q49" s="358" t="s">
        <v>353</v>
      </c>
      <c r="R49" s="356">
        <f t="shared" si="2"/>
        <v>403803.81681611622</v>
      </c>
      <c r="S49" s="356">
        <f>Data!CD49/S$4*100000*S$3</f>
        <v>0</v>
      </c>
      <c r="T49" s="356">
        <f>Data!CE49/T$4*100000*T$3</f>
        <v>0</v>
      </c>
      <c r="U49" s="356">
        <f>Data!CF49/U$4*100000*U$3</f>
        <v>0</v>
      </c>
      <c r="V49" s="356">
        <f>Data!CG49/V$4*100000*V$3</f>
        <v>17322.016282695309</v>
      </c>
      <c r="W49" s="356">
        <f>Data!CH49/W$4*100000*W$3</f>
        <v>7138.4866408321441</v>
      </c>
      <c r="X49" s="356">
        <f>Data!CI49/X$4*100000*X$3</f>
        <v>22071.806945261917</v>
      </c>
      <c r="Y49" s="356">
        <f>Data!CJ49/Y$4*100000*Y$3</f>
        <v>39871.499851905857</v>
      </c>
      <c r="Z49" s="356">
        <f>Data!CK49/Z$4*100000*Z$3</f>
        <v>78481.495184599684</v>
      </c>
      <c r="AA49" s="356">
        <f>Data!CL49/AA$4*100000*AA$3</f>
        <v>41031.252137044379</v>
      </c>
      <c r="AB49" s="356">
        <f>Data!CM49/AB$4*100000*AB$3</f>
        <v>38591.945309700364</v>
      </c>
      <c r="AC49" s="356">
        <f>Data!CN49/AC$4*100000*AC$3</f>
        <v>52739.083846772039</v>
      </c>
      <c r="AD49" s="356">
        <f>Data!CO49/AD$4*100000*AD$3</f>
        <v>41068.46455278153</v>
      </c>
      <c r="AE49" s="356">
        <f>Data!CP49/AE$4*100000*AE$3</f>
        <v>20453.453054211877</v>
      </c>
      <c r="AF49" s="356">
        <f>Data!CQ49/AF$4*100000*AF$3</f>
        <v>18178.09993410439</v>
      </c>
      <c r="AG49" s="356">
        <f>Data!CR49/AG$4*100000*AG$3</f>
        <v>17811.976773182287</v>
      </c>
      <c r="AH49" s="356">
        <f>Data!CS49/AH$4*100000*AH$3</f>
        <v>7406.1273360159967</v>
      </c>
      <c r="AI49" s="356">
        <f>Data!CT49/AI$4*100000*AI$3</f>
        <v>1638.1089670084857</v>
      </c>
      <c r="AJ49" s="356">
        <f>Data!CU49/AJ$4*100000*AJ$3</f>
        <v>0</v>
      </c>
      <c r="AK49" s="358" t="s">
        <v>353</v>
      </c>
      <c r="AL49" s="356">
        <f t="shared" si="3"/>
        <v>336791.09300558432</v>
      </c>
      <c r="AM49" s="356">
        <f>Data!CD49/AM$4*100000*AM$3</f>
        <v>0</v>
      </c>
      <c r="AN49" s="356">
        <f>Data!CE49/AN$4*100000*AN$3</f>
        <v>0</v>
      </c>
      <c r="AO49" s="356">
        <f>Data!CF49/AO$4*100000*AO$3</f>
        <v>0</v>
      </c>
      <c r="AP49" s="356">
        <f>Data!CG49/AP$4*100000*AP$3</f>
        <v>22271.163792036823</v>
      </c>
      <c r="AQ49" s="356">
        <f>Data!CH49/AQ$4*100000*AQ$3</f>
        <v>8158.2704466653076</v>
      </c>
      <c r="AR49" s="356">
        <f>Data!CI49/AR$4*100000*AR$3</f>
        <v>25224.922223156475</v>
      </c>
      <c r="AS49" s="356">
        <f>Data!CJ49/AS$4*100000*AS$3</f>
        <v>34175.571301633594</v>
      </c>
      <c r="AT49" s="356">
        <f>Data!CK49/AT$4*100000*AT$3</f>
        <v>67269.853015371162</v>
      </c>
      <c r="AU49" s="356">
        <f>Data!CL49/AU$4*100000*AU$3</f>
        <v>35169.644688895183</v>
      </c>
      <c r="AV49" s="356">
        <f>Data!CM49/AV$4*100000*AV$3</f>
        <v>33078.810265457454</v>
      </c>
      <c r="AW49" s="356">
        <f>Data!CN49/AW$4*100000*AW$3</f>
        <v>37670.774176265739</v>
      </c>
      <c r="AX49" s="356">
        <f>Data!CO49/AX$4*100000*AX$3</f>
        <v>27378.97636852102</v>
      </c>
      <c r="AY49" s="356">
        <f>Data!CP49/AY$4*100000*AY$3</f>
        <v>16362.762443369502</v>
      </c>
      <c r="AZ49" s="356">
        <f>Data!CQ49/AZ$4*100000*AZ$3</f>
        <v>13633.574950578291</v>
      </c>
      <c r="BA49" s="356">
        <f>Data!CR49/BA$4*100000*BA$3</f>
        <v>11874.651182121524</v>
      </c>
      <c r="BB49" s="356">
        <f>Data!CS49/BB$4*100000*BB$3</f>
        <v>3703.0636680079983</v>
      </c>
      <c r="BC49" s="356">
        <f>Data!CT49/BC$4*100000*BC$3</f>
        <v>819.05448350424285</v>
      </c>
      <c r="BD49" s="356">
        <f>Data!CU49/BD$4*100000*BD$3</f>
        <v>0</v>
      </c>
    </row>
    <row r="50" spans="1:56" ht="12" customHeight="1">
      <c r="A50" s="67"/>
      <c r="B50" s="150" t="str">
        <f>UPPER(LEFT(TRIM(Data!B50),1)) &amp; MID(TRIM(Data!B50),2,50)</f>
        <v>Kiti nervų sistemos</v>
      </c>
      <c r="C50" s="129" t="str">
        <f>UPPER(LEFT(TRIM(Data!C50),1)) &amp; MID(TRIM(Data!C50),2,50)</f>
        <v>D42, D43</v>
      </c>
      <c r="D50" s="130">
        <f>Data!BQ50</f>
        <v>30</v>
      </c>
      <c r="E50" s="131">
        <f t="shared" si="4"/>
        <v>1.9145131584489381</v>
      </c>
      <c r="F50" s="132">
        <f t="shared" si="5"/>
        <v>1.2361222144226844</v>
      </c>
      <c r="G50" s="132">
        <f t="shared" si="6"/>
        <v>1.0039809498416803</v>
      </c>
      <c r="H50" s="72"/>
      <c r="I50" s="72"/>
      <c r="J50" s="72"/>
      <c r="K50" s="72"/>
      <c r="L50" s="72"/>
      <c r="M50" s="72"/>
      <c r="N50" s="72"/>
      <c r="O50" s="72"/>
      <c r="P50" s="269"/>
      <c r="Q50" s="358" t="s">
        <v>353</v>
      </c>
      <c r="R50" s="356">
        <f t="shared" si="2"/>
        <v>123612.22144226843</v>
      </c>
      <c r="S50" s="356">
        <f>Data!CD50/S$4*100000*S$3</f>
        <v>10873.554157095674</v>
      </c>
      <c r="T50" s="356">
        <f>Data!CE50/T$4*100000*T$3</f>
        <v>0</v>
      </c>
      <c r="U50" s="356">
        <f>Data!CF50/U$4*100000*U$3</f>
        <v>10704.345964461572</v>
      </c>
      <c r="V50" s="356">
        <f>Data!CG50/V$4*100000*V$3</f>
        <v>0</v>
      </c>
      <c r="W50" s="356">
        <f>Data!CH50/W$4*100000*W$3</f>
        <v>0</v>
      </c>
      <c r="X50" s="356">
        <f>Data!CI50/X$4*100000*X$3</f>
        <v>0</v>
      </c>
      <c r="Y50" s="356">
        <f>Data!CJ50/Y$4*100000*Y$3</f>
        <v>0</v>
      </c>
      <c r="Z50" s="356">
        <f>Data!CK50/Z$4*100000*Z$3</f>
        <v>7848.149518459968</v>
      </c>
      <c r="AA50" s="356">
        <f>Data!CL50/AA$4*100000*AA$3</f>
        <v>0</v>
      </c>
      <c r="AB50" s="356">
        <f>Data!CM50/AB$4*100000*AB$3</f>
        <v>6431.9908849500598</v>
      </c>
      <c r="AC50" s="356">
        <f>Data!CN50/AC$4*100000*AC$3</f>
        <v>5859.8982051968933</v>
      </c>
      <c r="AD50" s="356">
        <f>Data!CO50/AD$4*100000*AD$3</f>
        <v>15400.674207293074</v>
      </c>
      <c r="AE50" s="356">
        <f>Data!CP50/AE$4*100000*AE$3</f>
        <v>15340.089790658909</v>
      </c>
      <c r="AF50" s="356">
        <f>Data!CQ50/AF$4*100000*AF$3</f>
        <v>13633.574950578293</v>
      </c>
      <c r="AG50" s="356">
        <f>Data!CR50/AG$4*100000*AG$3</f>
        <v>14249.581418545829</v>
      </c>
      <c r="AH50" s="356">
        <f>Data!CS50/AH$4*100000*AH$3</f>
        <v>4937.4182240106657</v>
      </c>
      <c r="AI50" s="356">
        <f>Data!CT50/AI$4*100000*AI$3</f>
        <v>8190.5448350424276</v>
      </c>
      <c r="AJ50" s="356">
        <f>Data!CU50/AJ$4*100000*AJ$3</f>
        <v>10142.399285975091</v>
      </c>
      <c r="AK50" s="358" t="s">
        <v>353</v>
      </c>
      <c r="AL50" s="356">
        <f t="shared" si="3"/>
        <v>100398.09498416803</v>
      </c>
      <c r="AM50" s="356">
        <f>Data!CD50/AM$4*100000*AM$3</f>
        <v>16310.331235643511</v>
      </c>
      <c r="AN50" s="356">
        <f>Data!CE50/AN$4*100000*AN$3</f>
        <v>0</v>
      </c>
      <c r="AO50" s="356">
        <f>Data!CF50/AO$4*100000*AO$3</f>
        <v>13762.730525736308</v>
      </c>
      <c r="AP50" s="356">
        <f>Data!CG50/AP$4*100000*AP$3</f>
        <v>0</v>
      </c>
      <c r="AQ50" s="356">
        <f>Data!CH50/AQ$4*100000*AQ$3</f>
        <v>0</v>
      </c>
      <c r="AR50" s="356">
        <f>Data!CI50/AR$4*100000*AR$3</f>
        <v>0</v>
      </c>
      <c r="AS50" s="356">
        <f>Data!CJ50/AS$4*100000*AS$3</f>
        <v>0</v>
      </c>
      <c r="AT50" s="356">
        <f>Data!CK50/AT$4*100000*AT$3</f>
        <v>6726.9853015371154</v>
      </c>
      <c r="AU50" s="356">
        <f>Data!CL50/AU$4*100000*AU$3</f>
        <v>0</v>
      </c>
      <c r="AV50" s="356">
        <f>Data!CM50/AV$4*100000*AV$3</f>
        <v>5513.1350442429084</v>
      </c>
      <c r="AW50" s="356">
        <f>Data!CN50/AW$4*100000*AW$3</f>
        <v>4185.6415751406375</v>
      </c>
      <c r="AX50" s="356">
        <f>Data!CO50/AX$4*100000*AX$3</f>
        <v>10267.116138195383</v>
      </c>
      <c r="AY50" s="356">
        <f>Data!CP50/AY$4*100000*AY$3</f>
        <v>12272.071832527126</v>
      </c>
      <c r="AZ50" s="356">
        <f>Data!CQ50/AZ$4*100000*AZ$3</f>
        <v>10225.18121293372</v>
      </c>
      <c r="BA50" s="356">
        <f>Data!CR50/BA$4*100000*BA$3</f>
        <v>9499.7209456972196</v>
      </c>
      <c r="BB50" s="356">
        <f>Data!CS50/BB$4*100000*BB$3</f>
        <v>2468.7091120053328</v>
      </c>
      <c r="BC50" s="356">
        <f>Data!CT50/BC$4*100000*BC$3</f>
        <v>4095.2724175212138</v>
      </c>
      <c r="BD50" s="356">
        <f>Data!CU50/BD$4*100000*BD$3</f>
        <v>5071.1996429875453</v>
      </c>
    </row>
    <row r="51" spans="1:56" ht="12" customHeight="1">
      <c r="A51" s="67"/>
      <c r="B51" s="293" t="str">
        <f>UPPER(LEFT(TRIM(Data!B51),1)) &amp; MID(TRIM(Data!B51),2,50)</f>
        <v>Limfinio ir kraujodaros audinių</v>
      </c>
      <c r="C51" s="294" t="str">
        <f>UPPER(LEFT(TRIM(Data!C51),1)) &amp; MID(TRIM(Data!C51),2,50)</f>
        <v>D45-D47</v>
      </c>
      <c r="D51" s="295">
        <f>Data!BQ51</f>
        <v>237</v>
      </c>
      <c r="E51" s="296">
        <f t="shared" si="4"/>
        <v>15.124653951746611</v>
      </c>
      <c r="F51" s="297">
        <f t="shared" si="5"/>
        <v>9.2035319940678697</v>
      </c>
      <c r="G51" s="297">
        <f t="shared" si="6"/>
        <v>6.6289276439649685</v>
      </c>
      <c r="H51" s="72"/>
      <c r="I51" s="72"/>
      <c r="J51" s="72"/>
      <c r="K51" s="72"/>
      <c r="L51" s="72"/>
      <c r="M51" s="72"/>
      <c r="N51" s="72"/>
      <c r="O51" s="72"/>
      <c r="P51" s="269"/>
      <c r="Q51" s="358" t="s">
        <v>353</v>
      </c>
      <c r="R51" s="356">
        <f t="shared" si="2"/>
        <v>920353.19940678705</v>
      </c>
      <c r="S51" s="356">
        <f>Data!CD51/S$4*100000*S$3</f>
        <v>0</v>
      </c>
      <c r="T51" s="356">
        <f>Data!CE51/T$4*100000*T$3</f>
        <v>0</v>
      </c>
      <c r="U51" s="356">
        <f>Data!CF51/U$4*100000*U$3</f>
        <v>10704.345964461572</v>
      </c>
      <c r="V51" s="356">
        <f>Data!CG51/V$4*100000*V$3</f>
        <v>0</v>
      </c>
      <c r="W51" s="356">
        <f>Data!CH51/W$4*100000*W$3</f>
        <v>14276.973281664288</v>
      </c>
      <c r="X51" s="356">
        <f>Data!CI51/X$4*100000*X$3</f>
        <v>7357.2689817539731</v>
      </c>
      <c r="Y51" s="356">
        <f>Data!CJ51/Y$4*100000*Y$3</f>
        <v>63794.399763049376</v>
      </c>
      <c r="Z51" s="356">
        <f>Data!CK51/Z$4*100000*Z$3</f>
        <v>47088.897110759804</v>
      </c>
      <c r="AA51" s="356">
        <f>Data!CL51/AA$4*100000*AA$3</f>
        <v>41031.252137044379</v>
      </c>
      <c r="AB51" s="356">
        <f>Data!CM51/AB$4*100000*AB$3</f>
        <v>45023.936194650421</v>
      </c>
      <c r="AC51" s="356">
        <f>Data!CN51/AC$4*100000*AC$3</f>
        <v>29299.491025984458</v>
      </c>
      <c r="AD51" s="356">
        <f>Data!CO51/AD$4*100000*AD$3</f>
        <v>97537.603312856139</v>
      </c>
      <c r="AE51" s="356">
        <f>Data!CP51/AE$4*100000*AE$3</f>
        <v>112493.99179816531</v>
      </c>
      <c r="AF51" s="356">
        <f>Data!CQ51/AF$4*100000*AF$3</f>
        <v>127246.69953873073</v>
      </c>
      <c r="AG51" s="356">
        <f>Data!CR51/AG$4*100000*AG$3</f>
        <v>131808.62812154891</v>
      </c>
      <c r="AH51" s="356">
        <f>Data!CS51/AH$4*100000*AH$3</f>
        <v>76529.982472165299</v>
      </c>
      <c r="AI51" s="356">
        <f>Data!CT51/AI$4*100000*AI$3</f>
        <v>57333.813845296987</v>
      </c>
      <c r="AJ51" s="356">
        <f>Data!CU51/AJ$4*100000*AJ$3</f>
        <v>58825.915858655528</v>
      </c>
      <c r="AK51" s="358" t="s">
        <v>353</v>
      </c>
      <c r="AL51" s="356">
        <f t="shared" si="3"/>
        <v>662892.76439649682</v>
      </c>
      <c r="AM51" s="356">
        <f>Data!CD51/AM$4*100000*AM$3</f>
        <v>0</v>
      </c>
      <c r="AN51" s="356">
        <f>Data!CE51/AN$4*100000*AN$3</f>
        <v>0</v>
      </c>
      <c r="AO51" s="356">
        <f>Data!CF51/AO$4*100000*AO$3</f>
        <v>13762.730525736308</v>
      </c>
      <c r="AP51" s="356">
        <f>Data!CG51/AP$4*100000*AP$3</f>
        <v>0</v>
      </c>
      <c r="AQ51" s="356">
        <f>Data!CH51/AQ$4*100000*AQ$3</f>
        <v>16316.540893330615</v>
      </c>
      <c r="AR51" s="356">
        <f>Data!CI51/AR$4*100000*AR$3</f>
        <v>8408.3074077188267</v>
      </c>
      <c r="AS51" s="356">
        <f>Data!CJ51/AS$4*100000*AS$3</f>
        <v>54680.914082613752</v>
      </c>
      <c r="AT51" s="356">
        <f>Data!CK51/AT$4*100000*AT$3</f>
        <v>40361.911809222693</v>
      </c>
      <c r="AU51" s="356">
        <f>Data!CL51/AU$4*100000*AU$3</f>
        <v>35169.644688895183</v>
      </c>
      <c r="AV51" s="356">
        <f>Data!CM51/AV$4*100000*AV$3</f>
        <v>38591.945309700357</v>
      </c>
      <c r="AW51" s="356">
        <f>Data!CN51/AW$4*100000*AW$3</f>
        <v>20928.207875703185</v>
      </c>
      <c r="AX51" s="356">
        <f>Data!CO51/AX$4*100000*AX$3</f>
        <v>65025.068875237426</v>
      </c>
      <c r="AY51" s="356">
        <f>Data!CP51/AY$4*100000*AY$3</f>
        <v>89995.193438532253</v>
      </c>
      <c r="AZ51" s="356">
        <f>Data!CQ51/AZ$4*100000*AZ$3</f>
        <v>95435.024654048044</v>
      </c>
      <c r="BA51" s="356">
        <f>Data!CR51/BA$4*100000*BA$3</f>
        <v>87872.418747699281</v>
      </c>
      <c r="BB51" s="356">
        <f>Data!CS51/BB$4*100000*BB$3</f>
        <v>38264.991236082649</v>
      </c>
      <c r="BC51" s="356">
        <f>Data!CT51/BC$4*100000*BC$3</f>
        <v>28666.906922648493</v>
      </c>
      <c r="BD51" s="356">
        <f>Data!CU51/BD$4*100000*BD$3</f>
        <v>29412.957929327764</v>
      </c>
    </row>
    <row r="52" spans="1:56">
      <c r="A52" s="67"/>
      <c r="B52" s="67"/>
      <c r="C52" s="67"/>
      <c r="D52" s="67"/>
      <c r="E52" s="67"/>
      <c r="F52" s="67"/>
      <c r="G52" s="67"/>
      <c r="H52" s="72"/>
      <c r="I52" s="72"/>
      <c r="J52" s="72"/>
      <c r="K52" s="72"/>
      <c r="L52" s="72"/>
      <c r="M52" s="72"/>
      <c r="N52" s="72"/>
      <c r="O52" s="72"/>
      <c r="P52" s="269"/>
      <c r="Q52" s="352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</row>
    <row r="53" spans="1:56">
      <c r="A53" s="67"/>
      <c r="B53" s="67"/>
      <c r="C53" s="67"/>
      <c r="D53" s="67"/>
      <c r="E53" s="67"/>
      <c r="F53" s="67"/>
      <c r="G53" s="67"/>
      <c r="H53" s="72"/>
      <c r="I53" s="72"/>
      <c r="J53" s="72"/>
      <c r="K53" s="72"/>
      <c r="L53" s="72"/>
      <c r="M53" s="72"/>
      <c r="N53" s="72"/>
      <c r="O53" s="72"/>
      <c r="P53" s="269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2"/>
      <c r="AH53" s="352"/>
      <c r="AI53" s="352"/>
      <c r="AJ53" s="352"/>
      <c r="AK53" s="352"/>
      <c r="AL53" s="352"/>
      <c r="AM53" s="352"/>
      <c r="AN53" s="352"/>
      <c r="AO53" s="352"/>
      <c r="AP53" s="352"/>
      <c r="AQ53" s="352"/>
      <c r="AR53" s="352"/>
      <c r="AS53" s="352"/>
      <c r="AT53" s="352"/>
      <c r="AU53" s="352"/>
      <c r="AV53" s="352"/>
      <c r="AW53" s="352"/>
      <c r="AX53" s="352"/>
      <c r="AY53" s="352"/>
      <c r="AZ53" s="352"/>
      <c r="BA53" s="352"/>
      <c r="BB53" s="352"/>
      <c r="BC53" s="352"/>
      <c r="BD53" s="352"/>
    </row>
    <row r="54" spans="1:56">
      <c r="A54" s="31"/>
      <c r="B54" s="31"/>
      <c r="C54" s="31"/>
      <c r="D54" s="31"/>
      <c r="E54" s="31"/>
      <c r="F54" s="31"/>
      <c r="G54" s="31"/>
      <c r="H54" s="269"/>
      <c r="I54" s="269"/>
      <c r="J54" s="269"/>
      <c r="K54" s="269"/>
      <c r="L54" s="269"/>
      <c r="M54" s="269"/>
      <c r="N54" s="269"/>
      <c r="O54" s="269"/>
      <c r="P54" s="269"/>
      <c r="Q54" s="352" t="s">
        <v>408</v>
      </c>
      <c r="R54" s="356">
        <f>SUM(S54:AJ54)</f>
        <v>100000</v>
      </c>
      <c r="S54" s="357">
        <v>8000</v>
      </c>
      <c r="T54" s="357">
        <v>7000</v>
      </c>
      <c r="U54" s="357">
        <v>7000</v>
      </c>
      <c r="V54" s="357">
        <v>7000</v>
      </c>
      <c r="W54" s="357">
        <v>7000</v>
      </c>
      <c r="X54" s="357">
        <v>7000</v>
      </c>
      <c r="Y54" s="357">
        <v>7000</v>
      </c>
      <c r="Z54" s="357">
        <v>7000</v>
      </c>
      <c r="AA54" s="357">
        <v>7000</v>
      </c>
      <c r="AB54" s="357">
        <v>7000</v>
      </c>
      <c r="AC54" s="357">
        <v>7000</v>
      </c>
      <c r="AD54" s="357">
        <v>6000</v>
      </c>
      <c r="AE54" s="357">
        <v>5000</v>
      </c>
      <c r="AF54" s="357">
        <v>4000</v>
      </c>
      <c r="AG54" s="357">
        <v>3000</v>
      </c>
      <c r="AH54" s="357">
        <v>2000</v>
      </c>
      <c r="AI54" s="357">
        <v>1000</v>
      </c>
      <c r="AJ54" s="357">
        <v>1000</v>
      </c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</row>
    <row r="55" spans="1:56">
      <c r="A55" s="31"/>
      <c r="B55" s="31"/>
      <c r="C55" s="31"/>
      <c r="D55" s="31"/>
      <c r="E55" s="31"/>
      <c r="F55" s="31"/>
      <c r="G55" s="31"/>
      <c r="H55" s="269"/>
      <c r="I55" s="269"/>
      <c r="J55" s="269"/>
      <c r="K55" s="269"/>
      <c r="L55" s="269"/>
      <c r="M55" s="269"/>
      <c r="N55" s="269"/>
      <c r="O55" s="269"/>
      <c r="P55" s="269"/>
      <c r="Q55" s="352" t="s">
        <v>409</v>
      </c>
      <c r="R55" s="352">
        <v>100000</v>
      </c>
      <c r="S55" s="352">
        <v>12000</v>
      </c>
      <c r="T55" s="352">
        <v>10000</v>
      </c>
      <c r="U55" s="352">
        <v>9000</v>
      </c>
      <c r="V55" s="352">
        <v>9000</v>
      </c>
      <c r="W55" s="352">
        <v>8000</v>
      </c>
      <c r="X55" s="352">
        <v>8000</v>
      </c>
      <c r="Y55" s="352">
        <v>6000</v>
      </c>
      <c r="Z55" s="352">
        <v>6000</v>
      </c>
      <c r="AA55" s="352">
        <v>6000</v>
      </c>
      <c r="AB55" s="352">
        <v>6000</v>
      </c>
      <c r="AC55" s="352">
        <v>5000</v>
      </c>
      <c r="AD55" s="352">
        <v>4000</v>
      </c>
      <c r="AE55" s="352">
        <v>4000</v>
      </c>
      <c r="AF55" s="352">
        <v>3000</v>
      </c>
      <c r="AG55" s="352">
        <v>2000</v>
      </c>
      <c r="AH55" s="352">
        <v>1000</v>
      </c>
      <c r="AI55" s="352">
        <v>500</v>
      </c>
      <c r="AJ55" s="352">
        <v>500</v>
      </c>
      <c r="AK55" s="352"/>
      <c r="AL55" s="352"/>
      <c r="AM55" s="352"/>
      <c r="AN55" s="352"/>
      <c r="AO55" s="352"/>
      <c r="AP55" s="352"/>
      <c r="AQ55" s="352"/>
      <c r="AR55" s="352"/>
      <c r="AS55" s="352"/>
      <c r="AT55" s="352"/>
      <c r="AU55" s="352"/>
      <c r="AV55" s="352"/>
      <c r="AW55" s="352"/>
      <c r="AX55" s="352"/>
      <c r="AY55" s="352"/>
      <c r="AZ55" s="352"/>
      <c r="BA55" s="352"/>
      <c r="BB55" s="352"/>
      <c r="BC55" s="352"/>
      <c r="BD55" s="352"/>
    </row>
    <row r="56" spans="1:56">
      <c r="A56" s="31"/>
      <c r="B56" s="31"/>
      <c r="C56" s="31"/>
      <c r="D56" s="31"/>
      <c r="E56" s="31"/>
      <c r="F56" s="31"/>
      <c r="G56" s="31"/>
      <c r="H56" s="269"/>
      <c r="I56" s="269"/>
      <c r="J56" s="269"/>
      <c r="K56" s="269"/>
      <c r="L56" s="269"/>
      <c r="M56" s="269"/>
      <c r="N56" s="269"/>
      <c r="O56" s="269"/>
      <c r="P56" s="269"/>
      <c r="Q56" s="352"/>
      <c r="R56" s="352"/>
      <c r="S56" s="352"/>
      <c r="T56" s="352"/>
      <c r="U56" s="352"/>
      <c r="V56" s="352"/>
      <c r="W56" s="352"/>
      <c r="X56" s="352"/>
      <c r="Y56" s="352"/>
      <c r="Z56" s="352"/>
      <c r="AA56" s="352"/>
      <c r="AB56" s="352"/>
      <c r="AC56" s="352"/>
      <c r="AD56" s="352"/>
      <c r="AE56" s="352"/>
      <c r="AF56" s="352"/>
      <c r="AG56" s="352"/>
      <c r="AH56" s="352"/>
      <c r="AI56" s="352"/>
      <c r="AJ56" s="352"/>
      <c r="AK56" s="352"/>
      <c r="AL56" s="352"/>
      <c r="AM56" s="352"/>
      <c r="AN56" s="352"/>
      <c r="AO56" s="352"/>
      <c r="AP56" s="352"/>
      <c r="AQ56" s="352"/>
      <c r="AR56" s="352"/>
      <c r="AS56" s="352"/>
      <c r="AT56" s="352"/>
      <c r="AU56" s="352"/>
      <c r="AV56" s="352"/>
      <c r="AW56" s="352"/>
      <c r="AX56" s="352"/>
      <c r="AY56" s="352"/>
      <c r="AZ56" s="352"/>
      <c r="BA56" s="352"/>
      <c r="BB56" s="352"/>
      <c r="BC56" s="352"/>
      <c r="BD56" s="352"/>
    </row>
    <row r="57" spans="1:56">
      <c r="A57" s="31"/>
      <c r="B57" s="31"/>
      <c r="C57" s="31"/>
      <c r="D57" s="31"/>
      <c r="E57" s="31"/>
      <c r="F57" s="31"/>
      <c r="G57" s="31"/>
      <c r="H57" s="269"/>
      <c r="I57" s="269"/>
      <c r="J57" s="269"/>
      <c r="K57" s="269"/>
      <c r="L57" s="269"/>
      <c r="M57" s="269"/>
      <c r="N57" s="269"/>
      <c r="O57" s="269"/>
      <c r="P57" s="269"/>
      <c r="Q57" s="352"/>
      <c r="R57" s="352"/>
      <c r="S57" s="352"/>
      <c r="T57" s="352"/>
      <c r="U57" s="352"/>
      <c r="V57" s="352"/>
      <c r="W57" s="352"/>
      <c r="X57" s="352"/>
      <c r="Y57" s="352"/>
      <c r="Z57" s="352"/>
      <c r="AA57" s="352"/>
      <c r="AB57" s="352"/>
      <c r="AC57" s="352"/>
      <c r="AD57" s="352"/>
      <c r="AE57" s="352"/>
      <c r="AF57" s="352"/>
      <c r="AG57" s="352"/>
      <c r="AH57" s="352"/>
      <c r="AI57" s="352"/>
      <c r="AJ57" s="352"/>
      <c r="AK57" s="352"/>
      <c r="AL57" s="352"/>
      <c r="AM57" s="352"/>
      <c r="AN57" s="352"/>
      <c r="AO57" s="352"/>
      <c r="AP57" s="352"/>
      <c r="AQ57" s="352"/>
      <c r="AR57" s="352"/>
      <c r="AS57" s="352"/>
      <c r="AT57" s="352"/>
      <c r="AU57" s="352"/>
      <c r="AV57" s="352"/>
      <c r="AW57" s="352"/>
      <c r="AX57" s="352"/>
      <c r="AY57" s="352"/>
      <c r="AZ57" s="352"/>
      <c r="BA57" s="352"/>
      <c r="BB57" s="352"/>
      <c r="BC57" s="352"/>
      <c r="BD57" s="352"/>
    </row>
    <row r="58" spans="1:56"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A58" s="359"/>
      <c r="AB58" s="359"/>
      <c r="AC58" s="359"/>
      <c r="AD58" s="359"/>
      <c r="AE58" s="359"/>
      <c r="AF58" s="359"/>
      <c r="AG58" s="359"/>
      <c r="AH58" s="359"/>
      <c r="AI58" s="359"/>
      <c r="AJ58" s="359"/>
      <c r="AK58" s="359"/>
      <c r="AL58" s="359"/>
      <c r="AM58" s="359"/>
      <c r="AN58" s="359"/>
      <c r="AO58" s="359"/>
      <c r="AP58" s="359"/>
      <c r="AQ58" s="359"/>
      <c r="AR58" s="359"/>
      <c r="AS58" s="359"/>
      <c r="AT58" s="359"/>
      <c r="AU58" s="359"/>
      <c r="AV58" s="359"/>
      <c r="AW58" s="359"/>
      <c r="AX58" s="359"/>
      <c r="AY58" s="359"/>
      <c r="AZ58" s="359"/>
      <c r="BA58" s="359"/>
      <c r="BB58" s="359"/>
      <c r="BC58" s="359"/>
      <c r="BD58" s="359"/>
    </row>
    <row r="59" spans="1:56"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59"/>
      <c r="AB59" s="359"/>
      <c r="AC59" s="359"/>
      <c r="AD59" s="359"/>
      <c r="AE59" s="359"/>
      <c r="AF59" s="359"/>
      <c r="AG59" s="359"/>
      <c r="AH59" s="359"/>
      <c r="AI59" s="359"/>
      <c r="AJ59" s="359"/>
      <c r="AK59" s="359"/>
      <c r="AL59" s="359"/>
      <c r="AM59" s="359"/>
      <c r="AN59" s="359"/>
      <c r="AO59" s="359"/>
      <c r="AP59" s="359"/>
      <c r="AQ59" s="359"/>
      <c r="AR59" s="359"/>
      <c r="AS59" s="359"/>
      <c r="AT59" s="359"/>
      <c r="AU59" s="359"/>
      <c r="AV59" s="359"/>
      <c r="AW59" s="359"/>
      <c r="AX59" s="359"/>
      <c r="AY59" s="359"/>
      <c r="AZ59" s="359"/>
      <c r="BA59" s="359"/>
      <c r="BB59" s="359"/>
      <c r="BC59" s="359"/>
      <c r="BD59" s="359"/>
    </row>
    <row r="60" spans="1:56"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59"/>
      <c r="AB60" s="359"/>
      <c r="AC60" s="359"/>
      <c r="AD60" s="359"/>
      <c r="AE60" s="359"/>
      <c r="AF60" s="359"/>
      <c r="AG60" s="359"/>
      <c r="AH60" s="359"/>
      <c r="AI60" s="359"/>
      <c r="AJ60" s="359"/>
      <c r="AK60" s="359"/>
      <c r="AL60" s="359"/>
      <c r="AM60" s="359"/>
      <c r="AN60" s="359"/>
      <c r="AO60" s="359"/>
      <c r="AP60" s="359"/>
      <c r="AQ60" s="359"/>
      <c r="AR60" s="359"/>
      <c r="AS60" s="359"/>
      <c r="AT60" s="359"/>
      <c r="AU60" s="359"/>
      <c r="AV60" s="359"/>
      <c r="AW60" s="359"/>
      <c r="AX60" s="359"/>
      <c r="AY60" s="359"/>
      <c r="AZ60" s="359"/>
      <c r="BA60" s="359"/>
      <c r="BB60" s="359"/>
      <c r="BC60" s="359"/>
      <c r="BD60" s="359"/>
    </row>
    <row r="61" spans="1:56"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59"/>
      <c r="AB61" s="359"/>
      <c r="AC61" s="359"/>
      <c r="AD61" s="359"/>
      <c r="AE61" s="359"/>
      <c r="AF61" s="359"/>
      <c r="AG61" s="359"/>
      <c r="AH61" s="359"/>
      <c r="AI61" s="359"/>
      <c r="AJ61" s="359"/>
      <c r="AK61" s="359"/>
      <c r="AL61" s="359"/>
      <c r="AM61" s="359"/>
      <c r="AN61" s="359"/>
      <c r="AO61" s="359"/>
      <c r="AP61" s="359"/>
      <c r="AQ61" s="359"/>
      <c r="AR61" s="359"/>
      <c r="AS61" s="359"/>
      <c r="AT61" s="359"/>
      <c r="AU61" s="359"/>
      <c r="AV61" s="359"/>
      <c r="AW61" s="359"/>
      <c r="AX61" s="359"/>
      <c r="AY61" s="359"/>
      <c r="AZ61" s="359"/>
      <c r="BA61" s="359"/>
      <c r="BB61" s="359"/>
      <c r="BC61" s="359"/>
      <c r="BD61" s="359"/>
    </row>
    <row r="62" spans="1:56"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59"/>
      <c r="AB62" s="359"/>
      <c r="AC62" s="359"/>
      <c r="AD62" s="359"/>
      <c r="AE62" s="359"/>
      <c r="AF62" s="359"/>
      <c r="AG62" s="359"/>
      <c r="AH62" s="359"/>
      <c r="AI62" s="359"/>
      <c r="AJ62" s="359"/>
      <c r="AK62" s="359"/>
      <c r="AL62" s="359"/>
      <c r="AM62" s="359"/>
      <c r="AN62" s="359"/>
      <c r="AO62" s="359"/>
      <c r="AP62" s="359"/>
      <c r="AQ62" s="359"/>
      <c r="AR62" s="359"/>
      <c r="AS62" s="359"/>
      <c r="AT62" s="359"/>
      <c r="AU62" s="359"/>
      <c r="AV62" s="359"/>
      <c r="AW62" s="359"/>
      <c r="AX62" s="359"/>
      <c r="AY62" s="359"/>
      <c r="AZ62" s="359"/>
      <c r="BA62" s="359"/>
      <c r="BB62" s="359"/>
      <c r="BC62" s="359"/>
      <c r="BD62" s="359"/>
    </row>
    <row r="63" spans="1:56"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/>
      <c r="AB63" s="359"/>
      <c r="AC63" s="359"/>
      <c r="AD63" s="359"/>
      <c r="AE63" s="359"/>
      <c r="AF63" s="359"/>
      <c r="AG63" s="359"/>
      <c r="AH63" s="359"/>
      <c r="AI63" s="359"/>
      <c r="AJ63" s="359"/>
      <c r="AK63" s="359"/>
      <c r="AL63" s="359"/>
      <c r="AM63" s="359"/>
      <c r="AN63" s="359"/>
      <c r="AO63" s="359"/>
      <c r="AP63" s="359"/>
      <c r="AQ63" s="359"/>
      <c r="AR63" s="359"/>
      <c r="AS63" s="359"/>
      <c r="AT63" s="359"/>
      <c r="AU63" s="359"/>
      <c r="AV63" s="359"/>
      <c r="AW63" s="359"/>
      <c r="AX63" s="359"/>
      <c r="AY63" s="359"/>
      <c r="AZ63" s="359"/>
      <c r="BA63" s="359"/>
      <c r="BB63" s="359"/>
      <c r="BC63" s="359"/>
      <c r="BD63" s="359"/>
    </row>
    <row r="64" spans="1:56"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59"/>
      <c r="AB64" s="359"/>
      <c r="AC64" s="359"/>
      <c r="AD64" s="359"/>
      <c r="AE64" s="359"/>
      <c r="AF64" s="359"/>
      <c r="AG64" s="359"/>
      <c r="AH64" s="359"/>
      <c r="AI64" s="359"/>
      <c r="AJ64" s="359"/>
      <c r="AK64" s="359"/>
      <c r="AL64" s="359"/>
      <c r="AM64" s="359"/>
      <c r="AN64" s="359"/>
      <c r="AO64" s="359"/>
      <c r="AP64" s="359"/>
      <c r="AQ64" s="359"/>
      <c r="AR64" s="359"/>
      <c r="AS64" s="359"/>
      <c r="AT64" s="359"/>
      <c r="AU64" s="359"/>
      <c r="AV64" s="359"/>
      <c r="AW64" s="359"/>
      <c r="AX64" s="359"/>
      <c r="AY64" s="359"/>
      <c r="AZ64" s="359"/>
      <c r="BA64" s="359"/>
      <c r="BB64" s="359"/>
      <c r="BC64" s="359"/>
      <c r="BD64" s="359"/>
    </row>
    <row r="65" spans="17:56"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59"/>
      <c r="AH65" s="359"/>
      <c r="AI65" s="359"/>
      <c r="AJ65" s="359"/>
      <c r="AK65" s="359"/>
      <c r="AL65" s="359"/>
      <c r="AM65" s="359"/>
      <c r="AN65" s="359"/>
      <c r="AO65" s="359"/>
      <c r="AP65" s="359"/>
      <c r="AQ65" s="359"/>
      <c r="AR65" s="359"/>
      <c r="AS65" s="359"/>
      <c r="AT65" s="359"/>
      <c r="AU65" s="359"/>
      <c r="AV65" s="359"/>
      <c r="AW65" s="359"/>
      <c r="AX65" s="359"/>
      <c r="AY65" s="359"/>
      <c r="AZ65" s="359"/>
      <c r="BA65" s="359"/>
      <c r="BB65" s="359"/>
      <c r="BC65" s="359"/>
      <c r="BD65" s="359"/>
    </row>
  </sheetData>
  <mergeCells count="9">
    <mergeCell ref="B1:D1"/>
    <mergeCell ref="S2:U2"/>
    <mergeCell ref="F4:G4"/>
    <mergeCell ref="AM2:AO2"/>
    <mergeCell ref="C4:C5"/>
    <mergeCell ref="B4:B5"/>
    <mergeCell ref="D4:D5"/>
    <mergeCell ref="E4:E5"/>
    <mergeCell ref="Q1:Q2"/>
  </mergeCells>
  <pageMargins left="0.59055118110236215" right="0.62992125984251968" top="1.5748031496062993" bottom="1.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21</vt:i4>
      </vt:variant>
    </vt:vector>
  </HeadingPairs>
  <TitlesOfParts>
    <vt:vector size="49" baseType="lpstr">
      <vt:lpstr>Data</vt:lpstr>
      <vt:lpstr>DataTarpin</vt:lpstr>
      <vt:lpstr>Populiacija</vt:lpstr>
      <vt:lpstr>Kiti grafikai</vt:lpstr>
      <vt:lpstr>GrafikaiSergVM</vt:lpstr>
      <vt:lpstr>GrafikaiSerg</vt:lpstr>
      <vt:lpstr>Lent02vm</vt:lpstr>
      <vt:lpstr>Lent02v</vt:lpstr>
      <vt:lpstr>Lent02m</vt:lpstr>
      <vt:lpstr>Lent04v</vt:lpstr>
      <vt:lpstr>Lent04m</vt:lpstr>
      <vt:lpstr>Lent06v</vt:lpstr>
      <vt:lpstr>Lent06m</vt:lpstr>
      <vt:lpstr>Lent08v</vt:lpstr>
      <vt:lpstr>Lent08m</vt:lpstr>
      <vt:lpstr>GrafikaiMirtVM</vt:lpstr>
      <vt:lpstr>GrafikaiMirt</vt:lpstr>
      <vt:lpstr>Lent10vm</vt:lpstr>
      <vt:lpstr>Lent10v</vt:lpstr>
      <vt:lpstr>Lent10m</vt:lpstr>
      <vt:lpstr>Lent12v</vt:lpstr>
      <vt:lpstr>Lent12m</vt:lpstr>
      <vt:lpstr>Len14v</vt:lpstr>
      <vt:lpstr>Lent14m</vt:lpstr>
      <vt:lpstr>Lent16v</vt:lpstr>
      <vt:lpstr>Lent16m</vt:lpstr>
      <vt:lpstr>Lent18v</vt:lpstr>
      <vt:lpstr>Lent18m</vt:lpstr>
      <vt:lpstr>Len14v!Print_Area</vt:lpstr>
      <vt:lpstr>Lent02m!Print_Area</vt:lpstr>
      <vt:lpstr>Lent02v!Print_Area</vt:lpstr>
      <vt:lpstr>Lent02vm!Print_Area</vt:lpstr>
      <vt:lpstr>Lent04m!Print_Area</vt:lpstr>
      <vt:lpstr>Lent04v!Print_Area</vt:lpstr>
      <vt:lpstr>Lent06m!Print_Area</vt:lpstr>
      <vt:lpstr>Lent06v!Print_Area</vt:lpstr>
      <vt:lpstr>Lent08m!Print_Area</vt:lpstr>
      <vt:lpstr>Lent08v!Print_Area</vt:lpstr>
      <vt:lpstr>Lent10m!Print_Area</vt:lpstr>
      <vt:lpstr>Lent10v!Print_Area</vt:lpstr>
      <vt:lpstr>Lent10vm!Print_Area</vt:lpstr>
      <vt:lpstr>Lent12m!Print_Area</vt:lpstr>
      <vt:lpstr>Lent12v!Print_Area</vt:lpstr>
      <vt:lpstr>Lent14m!Print_Area</vt:lpstr>
      <vt:lpstr>Lent16m!Print_Area</vt:lpstr>
      <vt:lpstr>Lent16v!Print_Area</vt:lpstr>
      <vt:lpstr>Lent18m!Print_Area</vt:lpstr>
      <vt:lpstr>Lent18v!Print_Area</vt:lpstr>
      <vt:lpstr>v_F90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user</cp:lastModifiedBy>
  <cp:lastPrinted>2011-06-30T06:54:32Z</cp:lastPrinted>
  <dcterms:created xsi:type="dcterms:W3CDTF">1996-10-14T23:33:28Z</dcterms:created>
  <dcterms:modified xsi:type="dcterms:W3CDTF">2020-11-17T17:57:52Z</dcterms:modified>
</cp:coreProperties>
</file>